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  <sheet name="Säulendiagramm" sheetId="30" r:id="rId12"/>
  </sheets>
  <definedNames>
    <definedName name="_xlnm.Print_Area" localSheetId="0">'BON-NS'!$A$1:$S$44</definedName>
    <definedName name="_xlnm.Print_Area" localSheetId="1">'BON-SN'!$A$1:$S$44</definedName>
    <definedName name="_xlnm.Print_Area" localSheetId="2">'BSL-NS'!$A$1:$S$44</definedName>
    <definedName name="_xlnm.Print_Area" localSheetId="3">'BSL-SN'!$A$1:$S$44</definedName>
    <definedName name="_xlnm.Print_Area" localSheetId="4">'BWA-NS'!$A$1:$S$44</definedName>
    <definedName name="_xlnm.Print_Area" localSheetId="5">'BWA-SN'!$A$1:$S$44</definedName>
    <definedName name="_xlnm.Print_Area" localSheetId="6">'RFA-NS'!$A$1:$S$44</definedName>
    <definedName name="_xlnm.Print_Area" localSheetId="7">'RFA-SN'!$A$1:$S$44</definedName>
    <definedName name="_xlnm.Print_Area" localSheetId="10">'TTL-FZ'!$A$1:$S$45</definedName>
    <definedName name="_xlnm.Print_Area" localSheetId="8">'TTL-NS'!$A$1:$S$44</definedName>
    <definedName name="_xlnm.Print_Area" localSheetId="9">'TTL-SN'!$A$1:$S$44</definedName>
  </definedNames>
  <calcPr calcId="125725" iterate="1" iterateCount="1" iterateDelta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8"/>
  <c r="R43" i="15"/>
  <c r="R43" i="16"/>
  <c r="R43" i="17"/>
  <c r="R43" i="18"/>
  <c r="R43" i="25"/>
  <c r="R43" i="26"/>
  <c r="R43" i="27"/>
  <c r="B24" i="25"/>
  <c r="B25"/>
  <c r="B23" s="1"/>
  <c r="O22" i="26"/>
  <c r="O42"/>
  <c r="O21"/>
  <c r="O41"/>
  <c r="O20"/>
  <c r="O40"/>
  <c r="O19"/>
  <c r="O39" s="1"/>
  <c r="O18"/>
  <c r="O38" s="1"/>
  <c r="O17"/>
  <c r="O37" s="1"/>
  <c r="O16"/>
  <c r="O36" s="1"/>
  <c r="O15"/>
  <c r="O35"/>
  <c r="O14"/>
  <c r="O34"/>
  <c r="O13"/>
  <c r="O33"/>
  <c r="O12"/>
  <c r="O32"/>
  <c r="O11"/>
  <c r="O31"/>
  <c r="N22"/>
  <c r="N42"/>
  <c r="N21"/>
  <c r="N41"/>
  <c r="N20"/>
  <c r="N40"/>
  <c r="N19"/>
  <c r="N18"/>
  <c r="N17"/>
  <c r="N16"/>
  <c r="N36"/>
  <c r="N15"/>
  <c r="N35"/>
  <c r="N14"/>
  <c r="N34"/>
  <c r="N13"/>
  <c r="N33"/>
  <c r="N12"/>
  <c r="N32"/>
  <c r="N11"/>
  <c r="N31"/>
  <c r="K42"/>
  <c r="AK59" i="30" s="1"/>
  <c r="K41" i="26"/>
  <c r="AK58" i="30" s="1"/>
  <c r="K40" i="26"/>
  <c r="AK57" i="30" s="1"/>
  <c r="K39" i="26"/>
  <c r="AK56" i="30" s="1"/>
  <c r="K38" i="26"/>
  <c r="AK55" i="30" s="1"/>
  <c r="K37" i="26"/>
  <c r="AK54" i="30" s="1"/>
  <c r="K36" i="26"/>
  <c r="AK53" i="30" s="1"/>
  <c r="K35" i="26"/>
  <c r="AK52" i="30" s="1"/>
  <c r="K34" i="26"/>
  <c r="AK51" i="30" s="1"/>
  <c r="K33" i="26"/>
  <c r="AK50" i="30" s="1"/>
  <c r="K32" i="26"/>
  <c r="AK49" i="30" s="1"/>
  <c r="K31" i="26"/>
  <c r="AK48" i="30" s="1"/>
  <c r="K44" i="26"/>
  <c r="J42"/>
  <c r="J41"/>
  <c r="J40"/>
  <c r="J39"/>
  <c r="J38"/>
  <c r="J37"/>
  <c r="J36"/>
  <c r="J35"/>
  <c r="J34"/>
  <c r="J33"/>
  <c r="J32"/>
  <c r="J31"/>
  <c r="G42"/>
  <c r="Y59" i="30" s="1"/>
  <c r="G41" i="26"/>
  <c r="Y58" i="30" s="1"/>
  <c r="G40" i="26"/>
  <c r="Y57" i="30" s="1"/>
  <c r="G39" i="26"/>
  <c r="G38"/>
  <c r="Y55" i="30" s="1"/>
  <c r="G37" i="26"/>
  <c r="Y54" i="30" s="1"/>
  <c r="G36" i="26"/>
  <c r="Y53" i="30" s="1"/>
  <c r="G35" i="26"/>
  <c r="Y52" i="30" s="1"/>
  <c r="G34" i="26"/>
  <c r="Y51" i="30" s="1"/>
  <c r="G33" i="26"/>
  <c r="Y50" i="30" s="1"/>
  <c r="G32" i="26"/>
  <c r="Y49" i="30" s="1"/>
  <c r="G31" i="26"/>
  <c r="Y48" i="30" s="1"/>
  <c r="F42" i="26"/>
  <c r="F41"/>
  <c r="F40"/>
  <c r="F39"/>
  <c r="F38"/>
  <c r="F37"/>
  <c r="F36"/>
  <c r="F35"/>
  <c r="F34"/>
  <c r="F33"/>
  <c r="F32"/>
  <c r="F31"/>
  <c r="C42"/>
  <c r="K59" i="30" s="1"/>
  <c r="C41" i="26"/>
  <c r="K58" i="30" s="1"/>
  <c r="C40" i="26"/>
  <c r="K57" i="30" s="1"/>
  <c r="C39" i="26"/>
  <c r="K56" i="30" s="1"/>
  <c r="C38" i="26"/>
  <c r="K55" i="30" s="1"/>
  <c r="C37" i="26"/>
  <c r="K54" i="30" s="1"/>
  <c r="C36" i="26"/>
  <c r="K53" i="30" s="1"/>
  <c r="C35" i="26"/>
  <c r="K52" i="30" s="1"/>
  <c r="C34" i="26"/>
  <c r="K51" i="30" s="1"/>
  <c r="C33" i="26"/>
  <c r="K50" i="30" s="1"/>
  <c r="C32" i="26"/>
  <c r="K49" i="30" s="1"/>
  <c r="C31" i="26"/>
  <c r="K48" i="30" s="1"/>
  <c r="B42" i="26"/>
  <c r="B41"/>
  <c r="B40"/>
  <c r="B39"/>
  <c r="B38"/>
  <c r="B37"/>
  <c r="B36"/>
  <c r="B35"/>
  <c r="B34"/>
  <c r="B33"/>
  <c r="B32"/>
  <c r="B31"/>
  <c r="B44"/>
  <c r="U31"/>
  <c r="U32"/>
  <c r="U33"/>
  <c r="U34"/>
  <c r="U35"/>
  <c r="U40"/>
  <c r="U41"/>
  <c r="U42"/>
  <c r="T31"/>
  <c r="T32"/>
  <c r="T33"/>
  <c r="T34"/>
  <c r="T35"/>
  <c r="T36"/>
  <c r="T40"/>
  <c r="T41"/>
  <c r="T42"/>
  <c r="S43"/>
  <c r="N24"/>
  <c r="N25"/>
  <c r="N23" s="1"/>
  <c r="P33"/>
  <c r="Q33"/>
  <c r="P31"/>
  <c r="Q31"/>
  <c r="P32"/>
  <c r="Q32"/>
  <c r="P34"/>
  <c r="Q34"/>
  <c r="P35"/>
  <c r="Q35"/>
  <c r="P40"/>
  <c r="Q40"/>
  <c r="P41"/>
  <c r="Q41"/>
  <c r="P42"/>
  <c r="Q42"/>
  <c r="O23"/>
  <c r="J24"/>
  <c r="J25"/>
  <c r="J23" s="1"/>
  <c r="L31"/>
  <c r="M31"/>
  <c r="L32"/>
  <c r="M32"/>
  <c r="L33"/>
  <c r="M33"/>
  <c r="L34"/>
  <c r="M34"/>
  <c r="L35"/>
  <c r="M35"/>
  <c r="L36"/>
  <c r="M36"/>
  <c r="L37"/>
  <c r="M37"/>
  <c r="L38"/>
  <c r="M38" s="1"/>
  <c r="L39"/>
  <c r="M39" s="1"/>
  <c r="L40"/>
  <c r="M40"/>
  <c r="L41"/>
  <c r="M41"/>
  <c r="L42"/>
  <c r="M42"/>
  <c r="K23"/>
  <c r="K43" s="1"/>
  <c r="F24"/>
  <c r="F25"/>
  <c r="F23" s="1"/>
  <c r="H31"/>
  <c r="I31"/>
  <c r="H32"/>
  <c r="I32"/>
  <c r="H33"/>
  <c r="I33"/>
  <c r="H34"/>
  <c r="I34"/>
  <c r="H35"/>
  <c r="I35"/>
  <c r="H36"/>
  <c r="I36"/>
  <c r="H37"/>
  <c r="I37"/>
  <c r="H38"/>
  <c r="I38" s="1"/>
  <c r="H39"/>
  <c r="I39" s="1"/>
  <c r="H40"/>
  <c r="I40"/>
  <c r="H41"/>
  <c r="I41"/>
  <c r="H42"/>
  <c r="I42"/>
  <c r="G23"/>
  <c r="B24"/>
  <c r="B25"/>
  <c r="B23"/>
  <c r="B43" s="1"/>
  <c r="D33"/>
  <c r="E33"/>
  <c r="D31"/>
  <c r="E31"/>
  <c r="D32"/>
  <c r="E32"/>
  <c r="D34"/>
  <c r="E34"/>
  <c r="D35"/>
  <c r="E35"/>
  <c r="D36"/>
  <c r="E36" s="1"/>
  <c r="D37"/>
  <c r="E37" s="1"/>
  <c r="D38"/>
  <c r="E38"/>
  <c r="D39"/>
  <c r="E39"/>
  <c r="D40"/>
  <c r="E40"/>
  <c r="D41"/>
  <c r="E41"/>
  <c r="D42"/>
  <c r="E42"/>
  <c r="C23"/>
  <c r="O24"/>
  <c r="K24"/>
  <c r="G24"/>
  <c r="C24"/>
  <c r="P11"/>
  <c r="P12"/>
  <c r="P18"/>
  <c r="Q18" s="1"/>
  <c r="P13"/>
  <c r="P14"/>
  <c r="P15"/>
  <c r="P16"/>
  <c r="P17"/>
  <c r="P19"/>
  <c r="P20"/>
  <c r="P21"/>
  <c r="P22"/>
  <c r="P23"/>
  <c r="L11"/>
  <c r="L12"/>
  <c r="L13"/>
  <c r="L14"/>
  <c r="L15"/>
  <c r="L16"/>
  <c r="L17"/>
  <c r="L18"/>
  <c r="L19"/>
  <c r="L20"/>
  <c r="L21"/>
  <c r="L22"/>
  <c r="H11"/>
  <c r="H12"/>
  <c r="H18"/>
  <c r="H13"/>
  <c r="H14"/>
  <c r="H15"/>
  <c r="H16"/>
  <c r="H17"/>
  <c r="H19"/>
  <c r="H20"/>
  <c r="H21"/>
  <c r="H22"/>
  <c r="D11"/>
  <c r="D12"/>
  <c r="D13"/>
  <c r="D14"/>
  <c r="D15"/>
  <c r="D16"/>
  <c r="D17"/>
  <c r="E17" s="1"/>
  <c r="D18"/>
  <c r="D19"/>
  <c r="D20"/>
  <c r="D21"/>
  <c r="D22"/>
  <c r="Q22"/>
  <c r="Q21"/>
  <c r="Q20"/>
  <c r="Q19"/>
  <c r="Q17"/>
  <c r="Q16"/>
  <c r="Q15"/>
  <c r="Q14"/>
  <c r="Q13"/>
  <c r="Q12"/>
  <c r="Q11"/>
  <c r="M22"/>
  <c r="M21"/>
  <c r="M20"/>
  <c r="M19"/>
  <c r="M18"/>
  <c r="M17"/>
  <c r="M16"/>
  <c r="M15"/>
  <c r="M14"/>
  <c r="M13"/>
  <c r="M12"/>
  <c r="M11"/>
  <c r="I22"/>
  <c r="I21"/>
  <c r="I20"/>
  <c r="I19"/>
  <c r="I18"/>
  <c r="I16"/>
  <c r="I15"/>
  <c r="I14"/>
  <c r="I13"/>
  <c r="I12"/>
  <c r="I11"/>
  <c r="E22"/>
  <c r="E21"/>
  <c r="E20"/>
  <c r="E19"/>
  <c r="E18"/>
  <c r="E15"/>
  <c r="E14"/>
  <c r="E13"/>
  <c r="E12"/>
  <c r="E11"/>
  <c r="O22" i="25"/>
  <c r="O42"/>
  <c r="O21"/>
  <c r="O41"/>
  <c r="O20"/>
  <c r="O40"/>
  <c r="O19"/>
  <c r="O39" s="1"/>
  <c r="O18"/>
  <c r="O38" s="1"/>
  <c r="O17"/>
  <c r="O37" s="1"/>
  <c r="O16"/>
  <c r="O36" s="1"/>
  <c r="O15"/>
  <c r="O35"/>
  <c r="O14"/>
  <c r="O34"/>
  <c r="O13"/>
  <c r="O33"/>
  <c r="O12"/>
  <c r="O32"/>
  <c r="O11"/>
  <c r="O31"/>
  <c r="N22"/>
  <c r="N42"/>
  <c r="N21"/>
  <c r="N41"/>
  <c r="N20"/>
  <c r="N40"/>
  <c r="N19"/>
  <c r="N18"/>
  <c r="N17"/>
  <c r="N16"/>
  <c r="N36"/>
  <c r="N15"/>
  <c r="N35"/>
  <c r="N14"/>
  <c r="N34"/>
  <c r="N13"/>
  <c r="N33"/>
  <c r="N12"/>
  <c r="N32"/>
  <c r="N11"/>
  <c r="N31"/>
  <c r="K42"/>
  <c r="AE59" i="30" s="1"/>
  <c r="K41" i="25"/>
  <c r="AE58" i="30" s="1"/>
  <c r="K40" i="25"/>
  <c r="AE57" i="30" s="1"/>
  <c r="K39" i="25"/>
  <c r="AE56" i="30" s="1"/>
  <c r="K38" i="25"/>
  <c r="AE55" i="30" s="1"/>
  <c r="K37" i="25"/>
  <c r="AE54" i="30" s="1"/>
  <c r="K36" i="25"/>
  <c r="AE53" i="30" s="1"/>
  <c r="K35" i="25"/>
  <c r="AE52" i="30" s="1"/>
  <c r="K34" i="25"/>
  <c r="AE51" i="30" s="1"/>
  <c r="K33" i="25"/>
  <c r="AE50" i="30" s="1"/>
  <c r="K32" i="25"/>
  <c r="AE49" i="30" s="1"/>
  <c r="K31" i="25"/>
  <c r="AE48" i="30" s="1"/>
  <c r="K44" i="25"/>
  <c r="J42"/>
  <c r="J41"/>
  <c r="J40"/>
  <c r="J39"/>
  <c r="J38"/>
  <c r="J37"/>
  <c r="J36"/>
  <c r="J35"/>
  <c r="J34"/>
  <c r="J33"/>
  <c r="J32"/>
  <c r="J31"/>
  <c r="G42"/>
  <c r="S59" i="30" s="1"/>
  <c r="G41" i="25"/>
  <c r="S58" i="30" s="1"/>
  <c r="G40" i="25"/>
  <c r="S57" i="30" s="1"/>
  <c r="G39" i="25"/>
  <c r="S56" i="30" s="1"/>
  <c r="G38" i="25"/>
  <c r="S55" i="30" s="1"/>
  <c r="G37" i="25"/>
  <c r="S54" i="30" s="1"/>
  <c r="G36" i="25"/>
  <c r="S53" i="30" s="1"/>
  <c r="G35" i="25"/>
  <c r="S52" i="30" s="1"/>
  <c r="G34" i="25"/>
  <c r="S51" i="30" s="1"/>
  <c r="G33" i="25"/>
  <c r="S50" i="30" s="1"/>
  <c r="G32" i="25"/>
  <c r="S49" i="30" s="1"/>
  <c r="G31" i="25"/>
  <c r="S48" i="30" s="1"/>
  <c r="F42" i="25"/>
  <c r="F41"/>
  <c r="F40"/>
  <c r="F39"/>
  <c r="F38"/>
  <c r="F37"/>
  <c r="F36"/>
  <c r="F35"/>
  <c r="F34"/>
  <c r="F33"/>
  <c r="F32"/>
  <c r="F31"/>
  <c r="F44"/>
  <c r="C42"/>
  <c r="E59" i="30" s="1"/>
  <c r="C41" i="25"/>
  <c r="E58" i="30" s="1"/>
  <c r="C40" i="25"/>
  <c r="E57" i="30" s="1"/>
  <c r="C39" i="25"/>
  <c r="E56" i="30" s="1"/>
  <c r="C38" i="25"/>
  <c r="E55" i="30" s="1"/>
  <c r="C37" i="25"/>
  <c r="E54" i="30" s="1"/>
  <c r="C36" i="25"/>
  <c r="E53" i="30" s="1"/>
  <c r="C35" i="25"/>
  <c r="E52" i="30" s="1"/>
  <c r="C34" i="25"/>
  <c r="E51" i="30" s="1"/>
  <c r="C33" i="25"/>
  <c r="E50" i="30" s="1"/>
  <c r="C32" i="25"/>
  <c r="E49" i="30" s="1"/>
  <c r="C31" i="25"/>
  <c r="E48" i="30" s="1"/>
  <c r="B42" i="25"/>
  <c r="B41"/>
  <c r="B40"/>
  <c r="B39"/>
  <c r="B38"/>
  <c r="B37"/>
  <c r="B36"/>
  <c r="B35"/>
  <c r="B34"/>
  <c r="B33"/>
  <c r="B32"/>
  <c r="B31"/>
  <c r="B44"/>
  <c r="U31"/>
  <c r="U32"/>
  <c r="U33"/>
  <c r="U34"/>
  <c r="U35"/>
  <c r="U40"/>
  <c r="U41"/>
  <c r="U42"/>
  <c r="T31"/>
  <c r="T32"/>
  <c r="T33"/>
  <c r="T34"/>
  <c r="T35"/>
  <c r="T36"/>
  <c r="T40"/>
  <c r="T41"/>
  <c r="T42"/>
  <c r="S43"/>
  <c r="N24"/>
  <c r="N25"/>
  <c r="P31"/>
  <c r="Q31"/>
  <c r="P32"/>
  <c r="Q32"/>
  <c r="P33"/>
  <c r="Q33"/>
  <c r="P34"/>
  <c r="Q34"/>
  <c r="P35"/>
  <c r="Q35"/>
  <c r="P40"/>
  <c r="Q40"/>
  <c r="P41"/>
  <c r="Q41"/>
  <c r="P42"/>
  <c r="Q42"/>
  <c r="J24"/>
  <c r="J25"/>
  <c r="J23" s="1"/>
  <c r="L31"/>
  <c r="M31"/>
  <c r="L32"/>
  <c r="M32"/>
  <c r="L33"/>
  <c r="M33"/>
  <c r="L34"/>
  <c r="M34"/>
  <c r="L35"/>
  <c r="M35"/>
  <c r="L36"/>
  <c r="M36" s="1"/>
  <c r="L37"/>
  <c r="M37" s="1"/>
  <c r="L38"/>
  <c r="M38" s="1"/>
  <c r="L39"/>
  <c r="M39" s="1"/>
  <c r="L40"/>
  <c r="M40"/>
  <c r="L41"/>
  <c r="M41"/>
  <c r="L42"/>
  <c r="M42"/>
  <c r="K23"/>
  <c r="F24"/>
  <c r="F25"/>
  <c r="F23" s="1"/>
  <c r="H31"/>
  <c r="I31"/>
  <c r="H32"/>
  <c r="I32"/>
  <c r="H33"/>
  <c r="I33"/>
  <c r="H34"/>
  <c r="I34"/>
  <c r="H35"/>
  <c r="I35"/>
  <c r="H36"/>
  <c r="I36" s="1"/>
  <c r="H37"/>
  <c r="I37" s="1"/>
  <c r="H38"/>
  <c r="I38" s="1"/>
  <c r="H39"/>
  <c r="I39" s="1"/>
  <c r="H40"/>
  <c r="I40"/>
  <c r="H41"/>
  <c r="I41"/>
  <c r="H42"/>
  <c r="I42"/>
  <c r="G23"/>
  <c r="D31"/>
  <c r="E31"/>
  <c r="D32"/>
  <c r="E32"/>
  <c r="D33"/>
  <c r="E33"/>
  <c r="D34"/>
  <c r="E34"/>
  <c r="D35"/>
  <c r="E35"/>
  <c r="D36"/>
  <c r="E36"/>
  <c r="D37"/>
  <c r="E37" s="1"/>
  <c r="D38"/>
  <c r="E38" s="1"/>
  <c r="D39"/>
  <c r="E39"/>
  <c r="D40"/>
  <c r="E40"/>
  <c r="D41"/>
  <c r="E41"/>
  <c r="D42"/>
  <c r="E42"/>
  <c r="C23"/>
  <c r="O24"/>
  <c r="K24"/>
  <c r="G24"/>
  <c r="C24"/>
  <c r="P11"/>
  <c r="P12"/>
  <c r="P13"/>
  <c r="P14"/>
  <c r="P15"/>
  <c r="P16"/>
  <c r="P17"/>
  <c r="Q17" s="1"/>
  <c r="P18"/>
  <c r="Q18" s="1"/>
  <c r="P19"/>
  <c r="Q19" s="1"/>
  <c r="P20"/>
  <c r="P21"/>
  <c r="P22"/>
  <c r="L11"/>
  <c r="L12"/>
  <c r="L13"/>
  <c r="L14"/>
  <c r="L15"/>
  <c r="L16"/>
  <c r="L17"/>
  <c r="L18"/>
  <c r="L19"/>
  <c r="L20"/>
  <c r="L21"/>
  <c r="L22"/>
  <c r="H11"/>
  <c r="H12"/>
  <c r="H13"/>
  <c r="H14"/>
  <c r="H15"/>
  <c r="H16"/>
  <c r="H17"/>
  <c r="I17" s="1"/>
  <c r="H18"/>
  <c r="H19"/>
  <c r="H20"/>
  <c r="H21"/>
  <c r="H22"/>
  <c r="D11"/>
  <c r="D12"/>
  <c r="D13"/>
  <c r="D14"/>
  <c r="D15"/>
  <c r="D16"/>
  <c r="D17"/>
  <c r="E17" s="1"/>
  <c r="D18"/>
  <c r="E18" s="1"/>
  <c r="D19"/>
  <c r="D20"/>
  <c r="D21"/>
  <c r="D22"/>
  <c r="Q22"/>
  <c r="Q21"/>
  <c r="Q20"/>
  <c r="Q16"/>
  <c r="Q15"/>
  <c r="Q14"/>
  <c r="Q13"/>
  <c r="Q12"/>
  <c r="Q11"/>
  <c r="M22"/>
  <c r="M21"/>
  <c r="M20"/>
  <c r="M19"/>
  <c r="M18"/>
  <c r="M17"/>
  <c r="M16"/>
  <c r="M15"/>
  <c r="M14"/>
  <c r="M13"/>
  <c r="M12"/>
  <c r="M11"/>
  <c r="I22"/>
  <c r="I21"/>
  <c r="I20"/>
  <c r="I19"/>
  <c r="I18"/>
  <c r="I16"/>
  <c r="I15"/>
  <c r="I14"/>
  <c r="I13"/>
  <c r="I12"/>
  <c r="I11"/>
  <c r="E22"/>
  <c r="E21"/>
  <c r="E20"/>
  <c r="E19"/>
  <c r="E16"/>
  <c r="E15"/>
  <c r="E14"/>
  <c r="E13"/>
  <c r="E12"/>
  <c r="E11"/>
  <c r="O22" i="28"/>
  <c r="O42"/>
  <c r="O21"/>
  <c r="O41"/>
  <c r="O20"/>
  <c r="O40"/>
  <c r="O19"/>
  <c r="O39"/>
  <c r="O18"/>
  <c r="O38"/>
  <c r="O17"/>
  <c r="O37"/>
  <c r="O16"/>
  <c r="O36"/>
  <c r="O15"/>
  <c r="O35"/>
  <c r="O14"/>
  <c r="O34"/>
  <c r="O13"/>
  <c r="O33"/>
  <c r="O12"/>
  <c r="O32"/>
  <c r="O11"/>
  <c r="O31"/>
  <c r="O44"/>
  <c r="N22"/>
  <c r="N42"/>
  <c r="N21"/>
  <c r="N41"/>
  <c r="N20"/>
  <c r="N40"/>
  <c r="N19"/>
  <c r="N39"/>
  <c r="N18"/>
  <c r="N38"/>
  <c r="N17"/>
  <c r="N37"/>
  <c r="N16"/>
  <c r="N36"/>
  <c r="N15"/>
  <c r="N35"/>
  <c r="N14"/>
  <c r="N34"/>
  <c r="N13"/>
  <c r="N33"/>
  <c r="N12"/>
  <c r="N32"/>
  <c r="N11"/>
  <c r="N31"/>
  <c r="N44"/>
  <c r="K42"/>
  <c r="AH59" i="30" s="1"/>
  <c r="K41" i="28"/>
  <c r="AH58" i="30" s="1"/>
  <c r="K40" i="28"/>
  <c r="AH57" i="30" s="1"/>
  <c r="K39" i="28"/>
  <c r="AH56" i="30" s="1"/>
  <c r="K38" i="28"/>
  <c r="AH55" i="30" s="1"/>
  <c r="K37" i="28"/>
  <c r="AH54" i="30" s="1"/>
  <c r="K36" i="28"/>
  <c r="AH53" i="30" s="1"/>
  <c r="K35" i="28"/>
  <c r="AH52" i="30" s="1"/>
  <c r="K34" i="28"/>
  <c r="AH51" i="30" s="1"/>
  <c r="K33" i="28"/>
  <c r="AH50" i="30" s="1"/>
  <c r="K32" i="28"/>
  <c r="AH49" i="30" s="1"/>
  <c r="K31" i="28"/>
  <c r="AH48" i="30" s="1"/>
  <c r="K44" i="28"/>
  <c r="J42"/>
  <c r="J41"/>
  <c r="J40"/>
  <c r="J39"/>
  <c r="J38"/>
  <c r="J37"/>
  <c r="J36"/>
  <c r="J35"/>
  <c r="J34"/>
  <c r="J33"/>
  <c r="J32"/>
  <c r="J31"/>
  <c r="J44"/>
  <c r="G42"/>
  <c r="V59" i="30" s="1"/>
  <c r="G41" i="28"/>
  <c r="V58" i="30" s="1"/>
  <c r="G40" i="28"/>
  <c r="V57" i="30" s="1"/>
  <c r="G39" i="28"/>
  <c r="V56" i="30" s="1"/>
  <c r="G38" i="28"/>
  <c r="V55" i="30" s="1"/>
  <c r="G37" i="28"/>
  <c r="V54" i="30" s="1"/>
  <c r="G36" i="28"/>
  <c r="V53" i="30" s="1"/>
  <c r="G35" i="28"/>
  <c r="V52" i="30" s="1"/>
  <c r="G34" i="28"/>
  <c r="V51" i="30" s="1"/>
  <c r="G33" i="28"/>
  <c r="V50" i="30" s="1"/>
  <c r="G32" i="28"/>
  <c r="V49" i="30" s="1"/>
  <c r="G31" i="28"/>
  <c r="V48" i="30" s="1"/>
  <c r="G44" i="28"/>
  <c r="F42"/>
  <c r="F41"/>
  <c r="F40"/>
  <c r="F39"/>
  <c r="F38"/>
  <c r="F37"/>
  <c r="F36"/>
  <c r="F35"/>
  <c r="F34"/>
  <c r="F33"/>
  <c r="F32"/>
  <c r="F31"/>
  <c r="F44"/>
  <c r="C42"/>
  <c r="H59" i="30" s="1"/>
  <c r="C41" i="28"/>
  <c r="H58" i="30" s="1"/>
  <c r="C40" i="28"/>
  <c r="H57" i="30" s="1"/>
  <c r="C39" i="28"/>
  <c r="H56" i="30" s="1"/>
  <c r="C38" i="28"/>
  <c r="H55" i="30" s="1"/>
  <c r="C37" i="28"/>
  <c r="H54" i="30" s="1"/>
  <c r="C36" i="28"/>
  <c r="H53" i="30" s="1"/>
  <c r="C35" i="28"/>
  <c r="H52" i="30" s="1"/>
  <c r="C34" i="28"/>
  <c r="H51" i="30" s="1"/>
  <c r="C33" i="28"/>
  <c r="H50" i="30" s="1"/>
  <c r="C32" i="28"/>
  <c r="H49" i="30" s="1"/>
  <c r="C31" i="28"/>
  <c r="H48" i="30" s="1"/>
  <c r="C44" i="28"/>
  <c r="B42"/>
  <c r="B41"/>
  <c r="B40"/>
  <c r="B39"/>
  <c r="B38"/>
  <c r="B37"/>
  <c r="B36"/>
  <c r="B35"/>
  <c r="B34"/>
  <c r="B33"/>
  <c r="B32"/>
  <c r="B31"/>
  <c r="B44"/>
  <c r="U31"/>
  <c r="U32"/>
  <c r="U33"/>
  <c r="U34"/>
  <c r="U35"/>
  <c r="U36"/>
  <c r="U37"/>
  <c r="U38"/>
  <c r="U39"/>
  <c r="U40"/>
  <c r="U41"/>
  <c r="U42"/>
  <c r="U43"/>
  <c r="T31"/>
  <c r="T32"/>
  <c r="T33"/>
  <c r="T34"/>
  <c r="T35"/>
  <c r="T36"/>
  <c r="T37"/>
  <c r="T38"/>
  <c r="T39"/>
  <c r="T40"/>
  <c r="T41"/>
  <c r="T42"/>
  <c r="T43"/>
  <c r="S43"/>
  <c r="N24"/>
  <c r="N25"/>
  <c r="N23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Q43"/>
  <c r="P43"/>
  <c r="O23"/>
  <c r="O43"/>
  <c r="N43"/>
  <c r="J24"/>
  <c r="J25"/>
  <c r="J23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M43"/>
  <c r="L43"/>
  <c r="K23"/>
  <c r="K43"/>
  <c r="J43"/>
  <c r="F24"/>
  <c r="F25"/>
  <c r="F23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I43"/>
  <c r="H43"/>
  <c r="G23"/>
  <c r="G43"/>
  <c r="F43"/>
  <c r="B24"/>
  <c r="B25"/>
  <c r="B23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E43"/>
  <c r="D43"/>
  <c r="C23"/>
  <c r="C43"/>
  <c r="B43"/>
  <c r="O24"/>
  <c r="K24"/>
  <c r="G24"/>
  <c r="C24"/>
  <c r="P11"/>
  <c r="P12"/>
  <c r="P13"/>
  <c r="P14"/>
  <c r="P15"/>
  <c r="P16"/>
  <c r="P17"/>
  <c r="P18"/>
  <c r="P19"/>
  <c r="P20"/>
  <c r="P21"/>
  <c r="P22"/>
  <c r="P23"/>
  <c r="Q23"/>
  <c r="L11"/>
  <c r="L12"/>
  <c r="L13"/>
  <c r="L14"/>
  <c r="L15"/>
  <c r="L16"/>
  <c r="L17"/>
  <c r="L18"/>
  <c r="L19"/>
  <c r="L20"/>
  <c r="L21"/>
  <c r="L22"/>
  <c r="L23"/>
  <c r="M23"/>
  <c r="H11"/>
  <c r="H12"/>
  <c r="H13"/>
  <c r="H14"/>
  <c r="H15"/>
  <c r="H16"/>
  <c r="H17"/>
  <c r="H18"/>
  <c r="H19"/>
  <c r="H20"/>
  <c r="H21"/>
  <c r="H22"/>
  <c r="H23"/>
  <c r="I23"/>
  <c r="D11"/>
  <c r="D12"/>
  <c r="D13"/>
  <c r="D14"/>
  <c r="D15"/>
  <c r="D16"/>
  <c r="D17"/>
  <c r="D18"/>
  <c r="D19"/>
  <c r="D20"/>
  <c r="D21"/>
  <c r="D22"/>
  <c r="D23"/>
  <c r="E23"/>
  <c r="Q22"/>
  <c r="M22"/>
  <c r="I22"/>
  <c r="E22"/>
  <c r="Q21"/>
  <c r="M21"/>
  <c r="I21"/>
  <c r="E21"/>
  <c r="Q20"/>
  <c r="M20"/>
  <c r="I20"/>
  <c r="E20"/>
  <c r="Q19"/>
  <c r="M19"/>
  <c r="I19"/>
  <c r="E19"/>
  <c r="Q18"/>
  <c r="M18"/>
  <c r="I18"/>
  <c r="E18"/>
  <c r="Q17"/>
  <c r="M17"/>
  <c r="I17"/>
  <c r="E17"/>
  <c r="Q16"/>
  <c r="M16"/>
  <c r="I16"/>
  <c r="E16"/>
  <c r="Q15"/>
  <c r="M15"/>
  <c r="I15"/>
  <c r="E15"/>
  <c r="Q14"/>
  <c r="M14"/>
  <c r="I14"/>
  <c r="E14"/>
  <c r="Q13"/>
  <c r="M13"/>
  <c r="I13"/>
  <c r="E13"/>
  <c r="Q12"/>
  <c r="M12"/>
  <c r="I12"/>
  <c r="E12"/>
  <c r="Q11"/>
  <c r="M11"/>
  <c r="I11"/>
  <c r="E11"/>
  <c r="N11" i="27"/>
  <c r="O12"/>
  <c r="O13"/>
  <c r="O14"/>
  <c r="O15"/>
  <c r="O16"/>
  <c r="N12"/>
  <c r="N13"/>
  <c r="N14"/>
  <c r="N15"/>
  <c r="N16"/>
  <c r="N24"/>
  <c r="O17"/>
  <c r="O18"/>
  <c r="O19"/>
  <c r="O20"/>
  <c r="O21"/>
  <c r="O22"/>
  <c r="N17"/>
  <c r="N18"/>
  <c r="N19"/>
  <c r="N20"/>
  <c r="N21"/>
  <c r="N22"/>
  <c r="N25"/>
  <c r="N23"/>
  <c r="O11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Q43"/>
  <c r="P43"/>
  <c r="O23"/>
  <c r="O44"/>
  <c r="O43"/>
  <c r="N44"/>
  <c r="N43"/>
  <c r="J24"/>
  <c r="J25"/>
  <c r="J23"/>
  <c r="J31"/>
  <c r="K31"/>
  <c r="AB48" i="30" s="1"/>
  <c r="L31" i="27"/>
  <c r="M31"/>
  <c r="J32"/>
  <c r="K32"/>
  <c r="AB49" i="30" s="1"/>
  <c r="L32" i="27"/>
  <c r="M32"/>
  <c r="J33"/>
  <c r="K33"/>
  <c r="AB50" i="30" s="1"/>
  <c r="L33" i="27"/>
  <c r="M33"/>
  <c r="J34"/>
  <c r="K34"/>
  <c r="AB51" i="30" s="1"/>
  <c r="L34" i="27"/>
  <c r="M34"/>
  <c r="J35"/>
  <c r="K35"/>
  <c r="AB52" i="30" s="1"/>
  <c r="L35" i="27"/>
  <c r="M35"/>
  <c r="J36"/>
  <c r="K36"/>
  <c r="AB53" i="30" s="1"/>
  <c r="L36" i="27"/>
  <c r="M36"/>
  <c r="J37"/>
  <c r="K37"/>
  <c r="AB54" i="30" s="1"/>
  <c r="L37" i="27"/>
  <c r="M37"/>
  <c r="J38"/>
  <c r="K38"/>
  <c r="AB55" i="30" s="1"/>
  <c r="L38" i="27"/>
  <c r="M38"/>
  <c r="J39"/>
  <c r="K39"/>
  <c r="AB56" i="30" s="1"/>
  <c r="L39" i="27"/>
  <c r="M39"/>
  <c r="J40"/>
  <c r="K40"/>
  <c r="AB57" i="30" s="1"/>
  <c r="L40" i="27"/>
  <c r="M40"/>
  <c r="J41"/>
  <c r="K41"/>
  <c r="AB58" i="30" s="1"/>
  <c r="L41" i="27"/>
  <c r="M41"/>
  <c r="J42"/>
  <c r="K42"/>
  <c r="AB59" i="30" s="1"/>
  <c r="L42" i="27"/>
  <c r="M42"/>
  <c r="M43"/>
  <c r="L43"/>
  <c r="K23"/>
  <c r="K44"/>
  <c r="K43"/>
  <c r="J44"/>
  <c r="J43"/>
  <c r="F24"/>
  <c r="F25"/>
  <c r="F23"/>
  <c r="F31"/>
  <c r="G31"/>
  <c r="P48" i="30" s="1"/>
  <c r="H31" i="27"/>
  <c r="I31"/>
  <c r="F32"/>
  <c r="G32"/>
  <c r="P49" i="30" s="1"/>
  <c r="H32" i="27"/>
  <c r="I32"/>
  <c r="F33"/>
  <c r="G33"/>
  <c r="P50" i="30" s="1"/>
  <c r="H33" i="27"/>
  <c r="I33"/>
  <c r="F34"/>
  <c r="G34"/>
  <c r="P51" i="30" s="1"/>
  <c r="H34" i="27"/>
  <c r="I34"/>
  <c r="F35"/>
  <c r="G35"/>
  <c r="P52" i="30" s="1"/>
  <c r="H35" i="27"/>
  <c r="I35"/>
  <c r="F36"/>
  <c r="G36"/>
  <c r="P53" i="30" s="1"/>
  <c r="H36" i="27"/>
  <c r="I36"/>
  <c r="F37"/>
  <c r="G37"/>
  <c r="P54" i="30" s="1"/>
  <c r="H37" i="27"/>
  <c r="I37"/>
  <c r="F38"/>
  <c r="G38"/>
  <c r="P55" i="30" s="1"/>
  <c r="H38" i="27"/>
  <c r="I38"/>
  <c r="F39"/>
  <c r="G39"/>
  <c r="P56" i="30" s="1"/>
  <c r="H39" i="27"/>
  <c r="I39"/>
  <c r="F40"/>
  <c r="G40"/>
  <c r="P57" i="30" s="1"/>
  <c r="H40" i="27"/>
  <c r="I40"/>
  <c r="F41"/>
  <c r="G41"/>
  <c r="P58" i="30" s="1"/>
  <c r="H41" i="27"/>
  <c r="I41"/>
  <c r="F42"/>
  <c r="G42"/>
  <c r="P59" i="30" s="1"/>
  <c r="H42" i="27"/>
  <c r="I42"/>
  <c r="I43"/>
  <c r="H43"/>
  <c r="G23"/>
  <c r="G44"/>
  <c r="G43"/>
  <c r="F44"/>
  <c r="F43"/>
  <c r="B24"/>
  <c r="B25"/>
  <c r="B23"/>
  <c r="B31"/>
  <c r="C31"/>
  <c r="B48" i="30" s="1"/>
  <c r="D31" i="27"/>
  <c r="E31"/>
  <c r="B32"/>
  <c r="C32"/>
  <c r="B49" i="30" s="1"/>
  <c r="D32" i="27"/>
  <c r="E32"/>
  <c r="B33"/>
  <c r="C33"/>
  <c r="B50" i="30" s="1"/>
  <c r="D33" i="27"/>
  <c r="E33"/>
  <c r="B34"/>
  <c r="C34"/>
  <c r="B51" i="30" s="1"/>
  <c r="D34" i="27"/>
  <c r="E34"/>
  <c r="B35"/>
  <c r="C35"/>
  <c r="B52" i="30" s="1"/>
  <c r="D35" i="27"/>
  <c r="E35"/>
  <c r="B36"/>
  <c r="C36"/>
  <c r="B53" i="30" s="1"/>
  <c r="D36" i="27"/>
  <c r="E36"/>
  <c r="B37"/>
  <c r="C37"/>
  <c r="B54" i="30" s="1"/>
  <c r="D37" i="27"/>
  <c r="E37"/>
  <c r="B38"/>
  <c r="C38"/>
  <c r="B55" i="30" s="1"/>
  <c r="D38" i="27"/>
  <c r="E38"/>
  <c r="B39"/>
  <c r="C39"/>
  <c r="B56" i="30" s="1"/>
  <c r="D39" i="27"/>
  <c r="E39"/>
  <c r="B40"/>
  <c r="C40"/>
  <c r="B57" i="30" s="1"/>
  <c r="D40" i="27"/>
  <c r="E40"/>
  <c r="B41"/>
  <c r="C41"/>
  <c r="B58" i="30" s="1"/>
  <c r="D41" i="27"/>
  <c r="E41"/>
  <c r="B42"/>
  <c r="C42"/>
  <c r="B59" i="30" s="1"/>
  <c r="D42" i="27"/>
  <c r="E42"/>
  <c r="E43"/>
  <c r="D43"/>
  <c r="C23"/>
  <c r="C44"/>
  <c r="C43"/>
  <c r="B44"/>
  <c r="B43"/>
  <c r="O24"/>
  <c r="P21"/>
  <c r="P22"/>
  <c r="P11"/>
  <c r="P12"/>
  <c r="P13"/>
  <c r="P14"/>
  <c r="P15"/>
  <c r="P16"/>
  <c r="P17"/>
  <c r="P18"/>
  <c r="P19"/>
  <c r="P20"/>
  <c r="P23"/>
  <c r="Q23"/>
  <c r="K24"/>
  <c r="L11"/>
  <c r="L12"/>
  <c r="L13"/>
  <c r="L14"/>
  <c r="L15"/>
  <c r="L16"/>
  <c r="L17"/>
  <c r="L18"/>
  <c r="L19"/>
  <c r="L20"/>
  <c r="L21"/>
  <c r="L22"/>
  <c r="L23"/>
  <c r="M23"/>
  <c r="G24"/>
  <c r="H11"/>
  <c r="H12"/>
  <c r="H13"/>
  <c r="H14"/>
  <c r="H15"/>
  <c r="H16"/>
  <c r="H17"/>
  <c r="H18"/>
  <c r="H19"/>
  <c r="H20"/>
  <c r="H21"/>
  <c r="H22"/>
  <c r="H23"/>
  <c r="I23"/>
  <c r="D22"/>
  <c r="D21"/>
  <c r="D20"/>
  <c r="D19"/>
  <c r="D18"/>
  <c r="D17"/>
  <c r="D16"/>
  <c r="D15"/>
  <c r="D14"/>
  <c r="D13"/>
  <c r="D12"/>
  <c r="D11"/>
  <c r="C24"/>
  <c r="D23"/>
  <c r="E23"/>
  <c r="O22" i="15"/>
  <c r="O42"/>
  <c r="U42"/>
  <c r="N22"/>
  <c r="N42"/>
  <c r="T42"/>
  <c r="O21"/>
  <c r="O41"/>
  <c r="U41"/>
  <c r="N21"/>
  <c r="N41"/>
  <c r="T41"/>
  <c r="O20"/>
  <c r="O40"/>
  <c r="U40"/>
  <c r="N20"/>
  <c r="N40"/>
  <c r="T40"/>
  <c r="O19"/>
  <c r="O39" s="1"/>
  <c r="N19"/>
  <c r="N39"/>
  <c r="T39" s="1"/>
  <c r="O18"/>
  <c r="O38" s="1"/>
  <c r="N18"/>
  <c r="N38"/>
  <c r="T38" s="1"/>
  <c r="O17"/>
  <c r="O37" s="1"/>
  <c r="N17"/>
  <c r="N37"/>
  <c r="T37" s="1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U31"/>
  <c r="N11"/>
  <c r="N31"/>
  <c r="T31"/>
  <c r="O22" i="16"/>
  <c r="O42"/>
  <c r="U42"/>
  <c r="N22"/>
  <c r="N42"/>
  <c r="T42"/>
  <c r="O21"/>
  <c r="O41"/>
  <c r="U41"/>
  <c r="N21"/>
  <c r="N41"/>
  <c r="T41"/>
  <c r="O20"/>
  <c r="O40"/>
  <c r="U40"/>
  <c r="N20"/>
  <c r="N40"/>
  <c r="T40"/>
  <c r="O19"/>
  <c r="O39" s="1"/>
  <c r="N19"/>
  <c r="N39"/>
  <c r="T39" s="1"/>
  <c r="O18"/>
  <c r="O38" s="1"/>
  <c r="N18"/>
  <c r="N38"/>
  <c r="T38" s="1"/>
  <c r="O17"/>
  <c r="O37" s="1"/>
  <c r="N17"/>
  <c r="N37"/>
  <c r="T37" s="1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U31"/>
  <c r="N11"/>
  <c r="N31"/>
  <c r="T31"/>
  <c r="O22" i="17"/>
  <c r="O42"/>
  <c r="U42"/>
  <c r="N22"/>
  <c r="N42"/>
  <c r="T42"/>
  <c r="O21"/>
  <c r="O41"/>
  <c r="U41"/>
  <c r="N21"/>
  <c r="N41"/>
  <c r="T41"/>
  <c r="O20"/>
  <c r="O40"/>
  <c r="U40"/>
  <c r="N20"/>
  <c r="N40"/>
  <c r="T40"/>
  <c r="O19"/>
  <c r="O39"/>
  <c r="U39"/>
  <c r="N19"/>
  <c r="N39"/>
  <c r="T39"/>
  <c r="O18"/>
  <c r="O38" s="1"/>
  <c r="N18"/>
  <c r="N38"/>
  <c r="T38" s="1"/>
  <c r="O17"/>
  <c r="O37"/>
  <c r="U37"/>
  <c r="N17"/>
  <c r="N37"/>
  <c r="T37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U31"/>
  <c r="N11"/>
  <c r="N31"/>
  <c r="T31"/>
  <c r="O22" i="18"/>
  <c r="O42"/>
  <c r="U42"/>
  <c r="N22"/>
  <c r="N42"/>
  <c r="T42"/>
  <c r="O21"/>
  <c r="O41"/>
  <c r="U41"/>
  <c r="N21"/>
  <c r="N41"/>
  <c r="T41"/>
  <c r="O20"/>
  <c r="O40"/>
  <c r="U40"/>
  <c r="N20"/>
  <c r="N40"/>
  <c r="T40"/>
  <c r="O19"/>
  <c r="O39"/>
  <c r="U39"/>
  <c r="N19"/>
  <c r="N39"/>
  <c r="T39"/>
  <c r="O18"/>
  <c r="O38" s="1"/>
  <c r="N18"/>
  <c r="N38"/>
  <c r="T38" s="1"/>
  <c r="O17"/>
  <c r="O37"/>
  <c r="U37"/>
  <c r="N17"/>
  <c r="N37"/>
  <c r="T37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U31"/>
  <c r="N11"/>
  <c r="N31"/>
  <c r="T31"/>
  <c r="C22" i="20"/>
  <c r="O22" s="1"/>
  <c r="G22"/>
  <c r="K22"/>
  <c r="B22"/>
  <c r="F22"/>
  <c r="J22"/>
  <c r="C21"/>
  <c r="O21" s="1"/>
  <c r="G21"/>
  <c r="K21"/>
  <c r="B21"/>
  <c r="F21"/>
  <c r="J21"/>
  <c r="C20"/>
  <c r="O20" s="1"/>
  <c r="G20"/>
  <c r="K20"/>
  <c r="B20"/>
  <c r="F20"/>
  <c r="J20"/>
  <c r="C19"/>
  <c r="G19"/>
  <c r="K19"/>
  <c r="B19"/>
  <c r="F19"/>
  <c r="J19"/>
  <c r="C18"/>
  <c r="G18"/>
  <c r="K18"/>
  <c r="B18"/>
  <c r="F18"/>
  <c r="J18"/>
  <c r="C17"/>
  <c r="G17"/>
  <c r="K17"/>
  <c r="B17"/>
  <c r="F17"/>
  <c r="J17"/>
  <c r="C16"/>
  <c r="G16"/>
  <c r="K16"/>
  <c r="B16"/>
  <c r="F16"/>
  <c r="J16"/>
  <c r="C15"/>
  <c r="G15"/>
  <c r="K15"/>
  <c r="B15"/>
  <c r="F15"/>
  <c r="J15"/>
  <c r="C14"/>
  <c r="G14"/>
  <c r="K14"/>
  <c r="B14"/>
  <c r="F14"/>
  <c r="J14"/>
  <c r="C13"/>
  <c r="G13"/>
  <c r="K13"/>
  <c r="B13"/>
  <c r="F13"/>
  <c r="J13"/>
  <c r="C12"/>
  <c r="G12"/>
  <c r="K12"/>
  <c r="B12"/>
  <c r="F12"/>
  <c r="J12"/>
  <c r="C11"/>
  <c r="G11"/>
  <c r="K11"/>
  <c r="B11"/>
  <c r="F11"/>
  <c r="J11"/>
  <c r="C22" i="21"/>
  <c r="O22" s="1"/>
  <c r="G22"/>
  <c r="K22"/>
  <c r="B22"/>
  <c r="F22"/>
  <c r="J22"/>
  <c r="C21"/>
  <c r="O21" s="1"/>
  <c r="G21"/>
  <c r="K21"/>
  <c r="B21"/>
  <c r="F21"/>
  <c r="J21"/>
  <c r="C20"/>
  <c r="O20" s="1"/>
  <c r="G20"/>
  <c r="K20"/>
  <c r="B20"/>
  <c r="F20"/>
  <c r="J20"/>
  <c r="C19"/>
  <c r="G19"/>
  <c r="K19"/>
  <c r="K39" s="1"/>
  <c r="B19"/>
  <c r="F19"/>
  <c r="J19"/>
  <c r="C18"/>
  <c r="G18"/>
  <c r="K18"/>
  <c r="B18"/>
  <c r="F18"/>
  <c r="J18"/>
  <c r="C17"/>
  <c r="G17"/>
  <c r="K17"/>
  <c r="B17"/>
  <c r="F17"/>
  <c r="J17"/>
  <c r="C16"/>
  <c r="G16"/>
  <c r="G36" s="1"/>
  <c r="K16"/>
  <c r="B16"/>
  <c r="F16"/>
  <c r="J16"/>
  <c r="C15"/>
  <c r="G15"/>
  <c r="K15"/>
  <c r="B15"/>
  <c r="F15"/>
  <c r="J15"/>
  <c r="C14"/>
  <c r="G14"/>
  <c r="K14"/>
  <c r="B14"/>
  <c r="F14"/>
  <c r="J14"/>
  <c r="C13"/>
  <c r="G13"/>
  <c r="K13"/>
  <c r="B13"/>
  <c r="F13"/>
  <c r="J13"/>
  <c r="C12"/>
  <c r="G12"/>
  <c r="K12"/>
  <c r="B12"/>
  <c r="F12"/>
  <c r="J12"/>
  <c r="C11"/>
  <c r="G11"/>
  <c r="K11"/>
  <c r="B11"/>
  <c r="F11"/>
  <c r="J11"/>
  <c r="C23" i="22"/>
  <c r="O23" s="1"/>
  <c r="G23"/>
  <c r="F43" s="1"/>
  <c r="K23"/>
  <c r="B23"/>
  <c r="F23"/>
  <c r="J23"/>
  <c r="C22"/>
  <c r="O22" s="1"/>
  <c r="G22"/>
  <c r="G42" s="1"/>
  <c r="K22"/>
  <c r="B22"/>
  <c r="F22"/>
  <c r="J22"/>
  <c r="C21"/>
  <c r="O21" s="1"/>
  <c r="G21"/>
  <c r="F41" s="1"/>
  <c r="K21"/>
  <c r="B21"/>
  <c r="F21"/>
  <c r="J21"/>
  <c r="C20"/>
  <c r="G20"/>
  <c r="G40" s="1"/>
  <c r="K20"/>
  <c r="K40" s="1"/>
  <c r="B20"/>
  <c r="F20"/>
  <c r="J20"/>
  <c r="C19"/>
  <c r="G19"/>
  <c r="K19"/>
  <c r="K39" s="1"/>
  <c r="B19"/>
  <c r="F19"/>
  <c r="J19"/>
  <c r="C18"/>
  <c r="G18"/>
  <c r="G38" s="1"/>
  <c r="K18"/>
  <c r="B18"/>
  <c r="F18"/>
  <c r="J18"/>
  <c r="C17"/>
  <c r="G17"/>
  <c r="K17"/>
  <c r="K37" s="1"/>
  <c r="B17"/>
  <c r="F17"/>
  <c r="J17"/>
  <c r="C16"/>
  <c r="G16"/>
  <c r="G36" s="1"/>
  <c r="K16"/>
  <c r="B16"/>
  <c r="F16"/>
  <c r="J16"/>
  <c r="C15"/>
  <c r="G15"/>
  <c r="K15"/>
  <c r="K35" s="1"/>
  <c r="B15"/>
  <c r="B35" s="1"/>
  <c r="F15"/>
  <c r="J15"/>
  <c r="C14"/>
  <c r="G14"/>
  <c r="G34" s="1"/>
  <c r="K14"/>
  <c r="B14"/>
  <c r="F14"/>
  <c r="J14"/>
  <c r="C13"/>
  <c r="G13"/>
  <c r="K13"/>
  <c r="K33" s="1"/>
  <c r="B13"/>
  <c r="F13"/>
  <c r="J13"/>
  <c r="J33" s="1"/>
  <c r="C12"/>
  <c r="G12"/>
  <c r="G32" s="1"/>
  <c r="K12"/>
  <c r="B12"/>
  <c r="F12"/>
  <c r="J12"/>
  <c r="U42" i="27"/>
  <c r="T42"/>
  <c r="U41"/>
  <c r="T41"/>
  <c r="U40"/>
  <c r="T40"/>
  <c r="U39"/>
  <c r="T39"/>
  <c r="U38"/>
  <c r="T38"/>
  <c r="U37"/>
  <c r="T37"/>
  <c r="U36"/>
  <c r="T36"/>
  <c r="U35"/>
  <c r="T35"/>
  <c r="U34"/>
  <c r="T34"/>
  <c r="U33"/>
  <c r="T33"/>
  <c r="U32"/>
  <c r="T32"/>
  <c r="U31"/>
  <c r="U43"/>
  <c r="T31"/>
  <c r="T43"/>
  <c r="C32" i="22"/>
  <c r="C34"/>
  <c r="C31" i="20"/>
  <c r="C32"/>
  <c r="C33"/>
  <c r="C34"/>
  <c r="K32" i="22"/>
  <c r="K34"/>
  <c r="K36"/>
  <c r="K41"/>
  <c r="L41" s="1"/>
  <c r="K42"/>
  <c r="L42" s="1"/>
  <c r="K43"/>
  <c r="J35"/>
  <c r="J39"/>
  <c r="J41"/>
  <c r="J42"/>
  <c r="J43"/>
  <c r="L43"/>
  <c r="G33"/>
  <c r="G35"/>
  <c r="G37"/>
  <c r="G39"/>
  <c r="G41"/>
  <c r="I41" s="1"/>
  <c r="G43"/>
  <c r="H43" s="1"/>
  <c r="F33"/>
  <c r="F35"/>
  <c r="F38"/>
  <c r="F40"/>
  <c r="F42"/>
  <c r="H33"/>
  <c r="H41"/>
  <c r="C36"/>
  <c r="C37"/>
  <c r="C39"/>
  <c r="C41"/>
  <c r="C42"/>
  <c r="E42" s="1"/>
  <c r="C43"/>
  <c r="B34"/>
  <c r="E34" s="1"/>
  <c r="B36"/>
  <c r="B37"/>
  <c r="D37" s="1"/>
  <c r="B38"/>
  <c r="B41"/>
  <c r="B42"/>
  <c r="B43"/>
  <c r="B33"/>
  <c r="D36"/>
  <c r="D41"/>
  <c r="D42"/>
  <c r="D43"/>
  <c r="M43"/>
  <c r="E43"/>
  <c r="M41"/>
  <c r="E41"/>
  <c r="I35"/>
  <c r="I33"/>
  <c r="K31" i="21"/>
  <c r="K32"/>
  <c r="K33"/>
  <c r="K34"/>
  <c r="K35"/>
  <c r="K36"/>
  <c r="K37"/>
  <c r="K38"/>
  <c r="K40"/>
  <c r="K41"/>
  <c r="L41" s="1"/>
  <c r="K42"/>
  <c r="J31"/>
  <c r="J32"/>
  <c r="L32" s="1"/>
  <c r="J33"/>
  <c r="J34"/>
  <c r="J35"/>
  <c r="J36"/>
  <c r="J38"/>
  <c r="J39"/>
  <c r="J40"/>
  <c r="J41"/>
  <c r="J42"/>
  <c r="L34"/>
  <c r="L36"/>
  <c r="L40"/>
  <c r="L42"/>
  <c r="G31"/>
  <c r="G32"/>
  <c r="G33"/>
  <c r="G34"/>
  <c r="G35"/>
  <c r="G37"/>
  <c r="G38"/>
  <c r="G39"/>
  <c r="G40"/>
  <c r="H40" s="1"/>
  <c r="G41"/>
  <c r="H41" s="1"/>
  <c r="G42"/>
  <c r="F31"/>
  <c r="F32"/>
  <c r="F33"/>
  <c r="F34"/>
  <c r="F35"/>
  <c r="F37"/>
  <c r="F38"/>
  <c r="F39"/>
  <c r="F40"/>
  <c r="F41"/>
  <c r="F42"/>
  <c r="H34"/>
  <c r="H38"/>
  <c r="H42"/>
  <c r="C31"/>
  <c r="C32"/>
  <c r="C33"/>
  <c r="C34"/>
  <c r="C35"/>
  <c r="C36"/>
  <c r="C37"/>
  <c r="C38"/>
  <c r="C39"/>
  <c r="C40"/>
  <c r="D40" s="1"/>
  <c r="C41"/>
  <c r="C42"/>
  <c r="E42" s="1"/>
  <c r="B31"/>
  <c r="B32"/>
  <c r="B33"/>
  <c r="B34"/>
  <c r="E34" s="1"/>
  <c r="B35"/>
  <c r="B36"/>
  <c r="B37"/>
  <c r="B38"/>
  <c r="B39"/>
  <c r="B40"/>
  <c r="B41"/>
  <c r="B42"/>
  <c r="D34"/>
  <c r="D38"/>
  <c r="D42"/>
  <c r="M42"/>
  <c r="I42"/>
  <c r="I41"/>
  <c r="M40"/>
  <c r="I40"/>
  <c r="I39"/>
  <c r="M38"/>
  <c r="I38"/>
  <c r="I37"/>
  <c r="M36"/>
  <c r="M35"/>
  <c r="I35"/>
  <c r="M34"/>
  <c r="M33"/>
  <c r="I33"/>
  <c r="M32"/>
  <c r="M31"/>
  <c r="I31"/>
  <c r="K31" i="20"/>
  <c r="K32"/>
  <c r="K33"/>
  <c r="K34"/>
  <c r="K35"/>
  <c r="K36"/>
  <c r="K37"/>
  <c r="K38"/>
  <c r="K39"/>
  <c r="K40"/>
  <c r="K41"/>
  <c r="K42"/>
  <c r="J31"/>
  <c r="J32"/>
  <c r="L32" s="1"/>
  <c r="J33"/>
  <c r="J34"/>
  <c r="J35"/>
  <c r="J36"/>
  <c r="J37"/>
  <c r="J38"/>
  <c r="J39"/>
  <c r="J40"/>
  <c r="J41"/>
  <c r="J42"/>
  <c r="L34"/>
  <c r="L36"/>
  <c r="L38"/>
  <c r="L40"/>
  <c r="L41"/>
  <c r="L42"/>
  <c r="G31"/>
  <c r="G32"/>
  <c r="G33"/>
  <c r="G34"/>
  <c r="G35"/>
  <c r="G36"/>
  <c r="G37"/>
  <c r="G38"/>
  <c r="G39"/>
  <c r="G40"/>
  <c r="H40" s="1"/>
  <c r="G41"/>
  <c r="G42"/>
  <c r="H42" s="1"/>
  <c r="F31"/>
  <c r="F32"/>
  <c r="F33"/>
  <c r="F34"/>
  <c r="F35"/>
  <c r="F36"/>
  <c r="F37"/>
  <c r="F38"/>
  <c r="F39"/>
  <c r="F40"/>
  <c r="F41"/>
  <c r="F42"/>
  <c r="H31"/>
  <c r="H32"/>
  <c r="H33"/>
  <c r="H34"/>
  <c r="H35"/>
  <c r="H41"/>
  <c r="C35"/>
  <c r="C36"/>
  <c r="C37"/>
  <c r="C39"/>
  <c r="C40"/>
  <c r="E40" s="1"/>
  <c r="C41"/>
  <c r="C42"/>
  <c r="E42" s="1"/>
  <c r="B31"/>
  <c r="B33"/>
  <c r="D33" s="1"/>
  <c r="B34"/>
  <c r="B35"/>
  <c r="D35" s="1"/>
  <c r="B36"/>
  <c r="B37"/>
  <c r="B39"/>
  <c r="B40"/>
  <c r="B41"/>
  <c r="B42"/>
  <c r="B32"/>
  <c r="D31"/>
  <c r="D34"/>
  <c r="D36"/>
  <c r="D39"/>
  <c r="D40"/>
  <c r="D41"/>
  <c r="D42"/>
  <c r="M42"/>
  <c r="I42"/>
  <c r="M41"/>
  <c r="I41"/>
  <c r="E41"/>
  <c r="M40"/>
  <c r="I40"/>
  <c r="M39"/>
  <c r="I38"/>
  <c r="M37"/>
  <c r="M36"/>
  <c r="E36"/>
  <c r="I35"/>
  <c r="M34"/>
  <c r="E34"/>
  <c r="I33"/>
  <c r="M32"/>
  <c r="E32"/>
  <c r="I31"/>
  <c r="E31"/>
  <c r="K25" i="22"/>
  <c r="J26" s="1"/>
  <c r="P21"/>
  <c r="P22"/>
  <c r="P23"/>
  <c r="L12"/>
  <c r="L13"/>
  <c r="L14"/>
  <c r="L15"/>
  <c r="L16"/>
  <c r="L17"/>
  <c r="L18"/>
  <c r="L19"/>
  <c r="L21"/>
  <c r="L22"/>
  <c r="L23"/>
  <c r="H12"/>
  <c r="H13"/>
  <c r="H14"/>
  <c r="H15"/>
  <c r="H16"/>
  <c r="H17"/>
  <c r="H18"/>
  <c r="H19"/>
  <c r="H21"/>
  <c r="H22"/>
  <c r="H23"/>
  <c r="D12"/>
  <c r="D14"/>
  <c r="D15"/>
  <c r="D16"/>
  <c r="D17"/>
  <c r="D18"/>
  <c r="D19"/>
  <c r="D20"/>
  <c r="D21"/>
  <c r="D22"/>
  <c r="D23"/>
  <c r="D13"/>
  <c r="G24" i="21"/>
  <c r="F25" s="1"/>
  <c r="C24"/>
  <c r="B25" s="1"/>
  <c r="P20"/>
  <c r="P21"/>
  <c r="P22"/>
  <c r="L11"/>
  <c r="L12"/>
  <c r="L13"/>
  <c r="L14"/>
  <c r="L15"/>
  <c r="L16"/>
  <c r="L17"/>
  <c r="L18"/>
  <c r="L19"/>
  <c r="L20"/>
  <c r="L21"/>
  <c r="L22"/>
  <c r="K23"/>
  <c r="H11"/>
  <c r="H12"/>
  <c r="H13"/>
  <c r="H14"/>
  <c r="H15"/>
  <c r="H16"/>
  <c r="H17"/>
  <c r="H18"/>
  <c r="H19"/>
  <c r="H20"/>
  <c r="H21"/>
  <c r="H22"/>
  <c r="G23"/>
  <c r="D11"/>
  <c r="D12"/>
  <c r="D13"/>
  <c r="D14"/>
  <c r="D15"/>
  <c r="D16"/>
  <c r="D17"/>
  <c r="D18"/>
  <c r="D19"/>
  <c r="D20"/>
  <c r="D21"/>
  <c r="D22"/>
  <c r="C23"/>
  <c r="K24" i="20"/>
  <c r="J25" s="1"/>
  <c r="G24"/>
  <c r="F25" s="1"/>
  <c r="C24"/>
  <c r="B25" s="1"/>
  <c r="P20"/>
  <c r="P21"/>
  <c r="P22"/>
  <c r="L11"/>
  <c r="L12"/>
  <c r="L13"/>
  <c r="L14"/>
  <c r="L15"/>
  <c r="L16"/>
  <c r="L17"/>
  <c r="L18"/>
  <c r="L19"/>
  <c r="L20"/>
  <c r="L21"/>
  <c r="L22"/>
  <c r="K23"/>
  <c r="H11"/>
  <c r="H12"/>
  <c r="H13"/>
  <c r="H14"/>
  <c r="H15"/>
  <c r="H16"/>
  <c r="H17"/>
  <c r="H18"/>
  <c r="H20"/>
  <c r="H21"/>
  <c r="H22"/>
  <c r="D11"/>
  <c r="D13"/>
  <c r="D14"/>
  <c r="D15"/>
  <c r="D16"/>
  <c r="D17"/>
  <c r="D18"/>
  <c r="D19"/>
  <c r="D20"/>
  <c r="D21"/>
  <c r="D22"/>
  <c r="D12"/>
  <c r="C23"/>
  <c r="B30" i="27"/>
  <c r="C9" i="15"/>
  <c r="C9" i="16"/>
  <c r="C9" i="17"/>
  <c r="C9" i="18"/>
  <c r="C9" i="25"/>
  <c r="G9" s="1"/>
  <c r="C9" i="26"/>
  <c r="G9" s="1"/>
  <c r="C9" i="20"/>
  <c r="S29" s="1"/>
  <c r="C9" i="21"/>
  <c r="C10" i="22"/>
  <c r="S30" s="1"/>
  <c r="C9" i="28"/>
  <c r="B9" i="15"/>
  <c r="R29" s="1"/>
  <c r="B9" i="16"/>
  <c r="B9" i="17"/>
  <c r="R29" s="1"/>
  <c r="B9" i="18"/>
  <c r="B9" i="25"/>
  <c r="F9" s="1"/>
  <c r="B9" i="26"/>
  <c r="B9" i="20"/>
  <c r="N29" s="1"/>
  <c r="B9" i="21"/>
  <c r="B10" i="22"/>
  <c r="N30" s="1"/>
  <c r="B9" i="28"/>
  <c r="F9" s="1"/>
  <c r="C30"/>
  <c r="G9"/>
  <c r="K9"/>
  <c r="O9"/>
  <c r="C29"/>
  <c r="G29"/>
  <c r="K29"/>
  <c r="O29"/>
  <c r="S29"/>
  <c r="C31" i="15"/>
  <c r="C48" i="30" s="1"/>
  <c r="C32" i="15"/>
  <c r="C49" i="30" s="1"/>
  <c r="C33" i="15"/>
  <c r="C50" i="30" s="1"/>
  <c r="C34" i="15"/>
  <c r="C51" i="30" s="1"/>
  <c r="C35" i="15"/>
  <c r="C52" i="30" s="1"/>
  <c r="C36" i="15"/>
  <c r="C53" i="30" s="1"/>
  <c r="C37" i="15"/>
  <c r="C54" i="30" s="1"/>
  <c r="C38" i="15"/>
  <c r="C55" i="30" s="1"/>
  <c r="C39" i="15"/>
  <c r="C56" i="30" s="1"/>
  <c r="C40" i="15"/>
  <c r="C57" i="30" s="1"/>
  <c r="C41" i="15"/>
  <c r="C58" i="30" s="1"/>
  <c r="C42" i="15"/>
  <c r="C59" i="30" s="1"/>
  <c r="B30" i="28"/>
  <c r="C30" i="27"/>
  <c r="F9"/>
  <c r="G9"/>
  <c r="J9"/>
  <c r="K9"/>
  <c r="N9"/>
  <c r="O9"/>
  <c r="B10"/>
  <c r="S43"/>
  <c r="E11"/>
  <c r="I11"/>
  <c r="M11"/>
  <c r="Q11"/>
  <c r="E12"/>
  <c r="I12"/>
  <c r="M12"/>
  <c r="Q12"/>
  <c r="E13"/>
  <c r="I13"/>
  <c r="M13"/>
  <c r="Q13"/>
  <c r="E14"/>
  <c r="I14"/>
  <c r="M14"/>
  <c r="Q14"/>
  <c r="E15"/>
  <c r="I15"/>
  <c r="M15"/>
  <c r="Q15"/>
  <c r="E16"/>
  <c r="I16"/>
  <c r="M16"/>
  <c r="Q16"/>
  <c r="E17"/>
  <c r="I17"/>
  <c r="M17"/>
  <c r="Q17"/>
  <c r="E18"/>
  <c r="I18"/>
  <c r="M18"/>
  <c r="Q18"/>
  <c r="E19"/>
  <c r="I19"/>
  <c r="M19"/>
  <c r="Q19"/>
  <c r="E20"/>
  <c r="I20"/>
  <c r="M20"/>
  <c r="Q20"/>
  <c r="E21"/>
  <c r="I21"/>
  <c r="M21"/>
  <c r="Q21"/>
  <c r="E22"/>
  <c r="I22"/>
  <c r="M22"/>
  <c r="Q22"/>
  <c r="B29"/>
  <c r="C29"/>
  <c r="F29"/>
  <c r="G29"/>
  <c r="J29"/>
  <c r="K29"/>
  <c r="N29"/>
  <c r="O29"/>
  <c r="R29"/>
  <c r="S29"/>
  <c r="F9" i="26"/>
  <c r="J9"/>
  <c r="N9"/>
  <c r="B29"/>
  <c r="F29"/>
  <c r="J29"/>
  <c r="N29"/>
  <c r="R29"/>
  <c r="K9" i="25"/>
  <c r="C29"/>
  <c r="K29"/>
  <c r="S29"/>
  <c r="N43" i="18"/>
  <c r="P42"/>
  <c r="P31"/>
  <c r="P32"/>
  <c r="P33"/>
  <c r="P34"/>
  <c r="P35"/>
  <c r="P37"/>
  <c r="P39"/>
  <c r="P40"/>
  <c r="P41"/>
  <c r="K42"/>
  <c r="AJ59" i="30" s="1"/>
  <c r="K31" i="18"/>
  <c r="AJ48" i="30" s="1"/>
  <c r="K32" i="18"/>
  <c r="AJ49" i="30" s="1"/>
  <c r="K33" i="18"/>
  <c r="AJ50" i="30" s="1"/>
  <c r="K34" i="18"/>
  <c r="AJ51" i="30" s="1"/>
  <c r="K35" i="18"/>
  <c r="AJ52" i="30" s="1"/>
  <c r="K36" i="18"/>
  <c r="AJ53" i="30" s="1"/>
  <c r="K37" i="18"/>
  <c r="AJ54" i="30" s="1"/>
  <c r="K38" i="18"/>
  <c r="AJ55" i="30" s="1"/>
  <c r="K39" i="18"/>
  <c r="AJ56" i="30" s="1"/>
  <c r="K40" i="18"/>
  <c r="AJ57" i="30" s="1"/>
  <c r="K41" i="18"/>
  <c r="AJ58" i="30" s="1"/>
  <c r="K43" i="18"/>
  <c r="J42"/>
  <c r="J31"/>
  <c r="J32"/>
  <c r="J33"/>
  <c r="J34"/>
  <c r="J35"/>
  <c r="J36"/>
  <c r="J37"/>
  <c r="J38"/>
  <c r="J39"/>
  <c r="J40"/>
  <c r="J41"/>
  <c r="J43"/>
  <c r="M43"/>
  <c r="L42"/>
  <c r="L31"/>
  <c r="L32"/>
  <c r="L33"/>
  <c r="L34"/>
  <c r="L35"/>
  <c r="L36"/>
  <c r="L37"/>
  <c r="L38"/>
  <c r="L39"/>
  <c r="L40"/>
  <c r="L41"/>
  <c r="L43"/>
  <c r="G42"/>
  <c r="X59" i="30" s="1"/>
  <c r="G31" i="18"/>
  <c r="X48" i="30" s="1"/>
  <c r="G32" i="18"/>
  <c r="X49" i="30" s="1"/>
  <c r="G33" i="18"/>
  <c r="X50" i="30" s="1"/>
  <c r="G34" i="18"/>
  <c r="X51" i="30" s="1"/>
  <c r="G35" i="18"/>
  <c r="X52" i="30" s="1"/>
  <c r="G36" i="18"/>
  <c r="X53" i="30" s="1"/>
  <c r="G37" i="18"/>
  <c r="X54" i="30" s="1"/>
  <c r="G38" i="18"/>
  <c r="X55" i="30" s="1"/>
  <c r="G39" i="18"/>
  <c r="X56" i="30" s="1"/>
  <c r="G40" i="18"/>
  <c r="X57" i="30" s="1"/>
  <c r="G41" i="18"/>
  <c r="X58" i="30" s="1"/>
  <c r="G43" i="18"/>
  <c r="F42"/>
  <c r="F31"/>
  <c r="F32"/>
  <c r="F33"/>
  <c r="F34"/>
  <c r="F35"/>
  <c r="F36"/>
  <c r="F37"/>
  <c r="F38"/>
  <c r="H38" s="1"/>
  <c r="F39"/>
  <c r="F40"/>
  <c r="F41"/>
  <c r="F43"/>
  <c r="I43" s="1"/>
  <c r="H42"/>
  <c r="H31"/>
  <c r="H32"/>
  <c r="H33"/>
  <c r="H34"/>
  <c r="H35"/>
  <c r="H36"/>
  <c r="H37"/>
  <c r="H39"/>
  <c r="H40"/>
  <c r="H41"/>
  <c r="C42"/>
  <c r="J59" i="30" s="1"/>
  <c r="C31" i="18"/>
  <c r="J48" i="30" s="1"/>
  <c r="C32" i="18"/>
  <c r="J49" i="30" s="1"/>
  <c r="C33" i="18"/>
  <c r="J50" i="30" s="1"/>
  <c r="C34" i="18"/>
  <c r="J51" i="30" s="1"/>
  <c r="C35" i="18"/>
  <c r="J52" i="30" s="1"/>
  <c r="C36" i="18"/>
  <c r="J53" i="30" s="1"/>
  <c r="C37" i="18"/>
  <c r="J54" i="30" s="1"/>
  <c r="C38" i="18"/>
  <c r="J55" i="30" s="1"/>
  <c r="C39" i="18"/>
  <c r="J56" i="30" s="1"/>
  <c r="C40" i="18"/>
  <c r="J57" i="30" s="1"/>
  <c r="C41" i="18"/>
  <c r="J58" i="30" s="1"/>
  <c r="C43" i="18"/>
  <c r="B42"/>
  <c r="B31"/>
  <c r="B32"/>
  <c r="B33"/>
  <c r="B34"/>
  <c r="B35"/>
  <c r="B36"/>
  <c r="B37"/>
  <c r="B38"/>
  <c r="B39"/>
  <c r="B40"/>
  <c r="B41"/>
  <c r="B43"/>
  <c r="E43" s="1"/>
  <c r="D42"/>
  <c r="D31"/>
  <c r="D32"/>
  <c r="D33"/>
  <c r="D34"/>
  <c r="D35"/>
  <c r="D36"/>
  <c r="D37"/>
  <c r="D38"/>
  <c r="D39"/>
  <c r="D40"/>
  <c r="D41"/>
  <c r="D43"/>
  <c r="N43" i="17"/>
  <c r="P42"/>
  <c r="P31"/>
  <c r="P32"/>
  <c r="P33"/>
  <c r="P34"/>
  <c r="P35"/>
  <c r="P37"/>
  <c r="P39"/>
  <c r="P40"/>
  <c r="P41"/>
  <c r="K42"/>
  <c r="AD59" i="30" s="1"/>
  <c r="K31" i="17"/>
  <c r="AD48" i="30" s="1"/>
  <c r="K32" i="17"/>
  <c r="AD49" i="30" s="1"/>
  <c r="K33" i="17"/>
  <c r="AD50" i="30" s="1"/>
  <c r="K34" i="17"/>
  <c r="AD51" i="30" s="1"/>
  <c r="K35" i="17"/>
  <c r="AD52" i="30" s="1"/>
  <c r="K36" i="17"/>
  <c r="AD53" i="30" s="1"/>
  <c r="K37" i="17"/>
  <c r="AD54" i="30" s="1"/>
  <c r="K38" i="17"/>
  <c r="AD55" i="30" s="1"/>
  <c r="K39" i="17"/>
  <c r="AD56" i="30" s="1"/>
  <c r="K40" i="17"/>
  <c r="AD57" i="30" s="1"/>
  <c r="K41" i="17"/>
  <c r="AD58" i="30" s="1"/>
  <c r="K43" i="17"/>
  <c r="J42"/>
  <c r="J31"/>
  <c r="J32"/>
  <c r="J33"/>
  <c r="J34"/>
  <c r="J35"/>
  <c r="J36"/>
  <c r="J37"/>
  <c r="J38"/>
  <c r="J39"/>
  <c r="J40"/>
  <c r="J41"/>
  <c r="J43"/>
  <c r="M43"/>
  <c r="L42"/>
  <c r="L31"/>
  <c r="L32"/>
  <c r="L33"/>
  <c r="L34"/>
  <c r="L35"/>
  <c r="L37"/>
  <c r="L38"/>
  <c r="L39"/>
  <c r="L40"/>
  <c r="L41"/>
  <c r="G42"/>
  <c r="R59" i="30" s="1"/>
  <c r="G31" i="17"/>
  <c r="R48" i="30" s="1"/>
  <c r="G32" i="17"/>
  <c r="R49" i="30" s="1"/>
  <c r="G33" i="17"/>
  <c r="R50" i="30" s="1"/>
  <c r="G34" i="17"/>
  <c r="R51" i="30" s="1"/>
  <c r="G35" i="17"/>
  <c r="R52" i="30" s="1"/>
  <c r="G36" i="17"/>
  <c r="R53" i="30" s="1"/>
  <c r="G37" i="17"/>
  <c r="R54" i="30" s="1"/>
  <c r="G38" i="17"/>
  <c r="R55" i="30" s="1"/>
  <c r="G39" i="17"/>
  <c r="R56" i="30" s="1"/>
  <c r="G40" i="17"/>
  <c r="R57" i="30" s="1"/>
  <c r="G41" i="17"/>
  <c r="R58" i="30" s="1"/>
  <c r="G43" i="17"/>
  <c r="F42"/>
  <c r="F31"/>
  <c r="F32"/>
  <c r="F33"/>
  <c r="F34"/>
  <c r="F35"/>
  <c r="F36"/>
  <c r="F37"/>
  <c r="F38"/>
  <c r="F39"/>
  <c r="F40"/>
  <c r="F41"/>
  <c r="F43"/>
  <c r="I43"/>
  <c r="H42"/>
  <c r="H31"/>
  <c r="H32"/>
  <c r="H33"/>
  <c r="H34"/>
  <c r="H35"/>
  <c r="H36"/>
  <c r="H37"/>
  <c r="H39"/>
  <c r="H40"/>
  <c r="H41"/>
  <c r="C42"/>
  <c r="D59" i="30" s="1"/>
  <c r="C31" i="17"/>
  <c r="D48" i="30" s="1"/>
  <c r="C32" i="17"/>
  <c r="D49" i="30" s="1"/>
  <c r="C33" i="17"/>
  <c r="D50" i="30" s="1"/>
  <c r="C34" i="17"/>
  <c r="D51" i="30" s="1"/>
  <c r="C35" i="17"/>
  <c r="D52" i="30" s="1"/>
  <c r="C36" i="17"/>
  <c r="D53" i="30" s="1"/>
  <c r="C37" i="17"/>
  <c r="D54" i="30" s="1"/>
  <c r="C38" i="17"/>
  <c r="D55" i="30" s="1"/>
  <c r="C39" i="17"/>
  <c r="D56" i="30" s="1"/>
  <c r="C40" i="17"/>
  <c r="D57" i="30" s="1"/>
  <c r="C41" i="17"/>
  <c r="D58" i="30" s="1"/>
  <c r="C43" i="17"/>
  <c r="B42"/>
  <c r="B31"/>
  <c r="B32"/>
  <c r="B33"/>
  <c r="B34"/>
  <c r="B35"/>
  <c r="B36"/>
  <c r="B37"/>
  <c r="B38"/>
  <c r="B39"/>
  <c r="B40"/>
  <c r="B41"/>
  <c r="B43"/>
  <c r="E43"/>
  <c r="D42"/>
  <c r="D31"/>
  <c r="D32"/>
  <c r="D33"/>
  <c r="D34"/>
  <c r="D35"/>
  <c r="D36"/>
  <c r="D37"/>
  <c r="D39"/>
  <c r="D40"/>
  <c r="D41"/>
  <c r="N43" i="16"/>
  <c r="P42"/>
  <c r="P31"/>
  <c r="P32"/>
  <c r="P33"/>
  <c r="P34"/>
  <c r="P35"/>
  <c r="P40"/>
  <c r="P41"/>
  <c r="K42"/>
  <c r="AI59" i="30" s="1"/>
  <c r="K31" i="16"/>
  <c r="AI48" i="30" s="1"/>
  <c r="K32" i="16"/>
  <c r="AI49" i="30" s="1"/>
  <c r="K33" i="16"/>
  <c r="AI50" i="30" s="1"/>
  <c r="K34" i="16"/>
  <c r="AI51" i="30" s="1"/>
  <c r="K35" i="16"/>
  <c r="AI52" i="30" s="1"/>
  <c r="K36" i="16"/>
  <c r="AI53" i="30" s="1"/>
  <c r="K37" i="16"/>
  <c r="AI54" i="30" s="1"/>
  <c r="K38" i="16"/>
  <c r="AI55" i="30" s="1"/>
  <c r="K39" i="16"/>
  <c r="AI56" i="30" s="1"/>
  <c r="K40" i="16"/>
  <c r="AI57" i="30" s="1"/>
  <c r="K41" i="16"/>
  <c r="AI58" i="30" s="1"/>
  <c r="K43" i="16"/>
  <c r="J42"/>
  <c r="J31"/>
  <c r="J32"/>
  <c r="J33"/>
  <c r="J34"/>
  <c r="J35"/>
  <c r="J36"/>
  <c r="J37"/>
  <c r="J38"/>
  <c r="J39"/>
  <c r="L39" s="1"/>
  <c r="J40"/>
  <c r="J41"/>
  <c r="L42"/>
  <c r="L31"/>
  <c r="L32"/>
  <c r="L33"/>
  <c r="L34"/>
  <c r="L35"/>
  <c r="L36"/>
  <c r="L38"/>
  <c r="L40"/>
  <c r="L41"/>
  <c r="G42"/>
  <c r="W59" i="30" s="1"/>
  <c r="G31" i="16"/>
  <c r="W48" i="30" s="1"/>
  <c r="G32" i="16"/>
  <c r="W49" i="30" s="1"/>
  <c r="G33" i="16"/>
  <c r="W50" i="30" s="1"/>
  <c r="G34" i="16"/>
  <c r="W51" i="30" s="1"/>
  <c r="G35" i="16"/>
  <c r="W52" i="30" s="1"/>
  <c r="G36" i="16"/>
  <c r="W53" i="30" s="1"/>
  <c r="G37" i="16"/>
  <c r="W54" i="30" s="1"/>
  <c r="G38" i="16"/>
  <c r="W55" i="30" s="1"/>
  <c r="G39" i="16"/>
  <c r="W56" i="30" s="1"/>
  <c r="G40" i="16"/>
  <c r="W57" i="30" s="1"/>
  <c r="G41" i="16"/>
  <c r="W58" i="30" s="1"/>
  <c r="F42" i="16"/>
  <c r="F31"/>
  <c r="F32"/>
  <c r="F33"/>
  <c r="F34"/>
  <c r="F35"/>
  <c r="F36"/>
  <c r="F37"/>
  <c r="F38"/>
  <c r="F39"/>
  <c r="F40"/>
  <c r="F41"/>
  <c r="H42"/>
  <c r="H31"/>
  <c r="H32"/>
  <c r="H33"/>
  <c r="H34"/>
  <c r="H35"/>
  <c r="H36"/>
  <c r="H37"/>
  <c r="H38"/>
  <c r="H40"/>
  <c r="H41"/>
  <c r="C42"/>
  <c r="I59" i="30" s="1"/>
  <c r="C31" i="16"/>
  <c r="I48" i="30" s="1"/>
  <c r="C32" i="16"/>
  <c r="I49" i="30" s="1"/>
  <c r="C33" i="16"/>
  <c r="I50" i="30" s="1"/>
  <c r="C34" i="16"/>
  <c r="I51" i="30" s="1"/>
  <c r="C35" i="16"/>
  <c r="I52" i="30" s="1"/>
  <c r="C36" i="16"/>
  <c r="I53" i="30" s="1"/>
  <c r="C37" i="16"/>
  <c r="I54" i="30" s="1"/>
  <c r="C38" i="16"/>
  <c r="I55" i="30" s="1"/>
  <c r="C39" i="16"/>
  <c r="C40"/>
  <c r="I57" i="30" s="1"/>
  <c r="C41" i="16"/>
  <c r="I58" i="30" s="1"/>
  <c r="B42" i="16"/>
  <c r="B31"/>
  <c r="B32"/>
  <c r="B33"/>
  <c r="B34"/>
  <c r="B35"/>
  <c r="B36"/>
  <c r="B37"/>
  <c r="B38"/>
  <c r="B39"/>
  <c r="B40"/>
  <c r="B41"/>
  <c r="D42"/>
  <c r="D31"/>
  <c r="D32"/>
  <c r="D33"/>
  <c r="D34"/>
  <c r="D35"/>
  <c r="D36"/>
  <c r="D37"/>
  <c r="D39"/>
  <c r="D40"/>
  <c r="D41"/>
  <c r="N43" i="15"/>
  <c r="J31"/>
  <c r="J32"/>
  <c r="J33"/>
  <c r="J34"/>
  <c r="J35"/>
  <c r="J36"/>
  <c r="J37"/>
  <c r="J38"/>
  <c r="J39"/>
  <c r="J40"/>
  <c r="J41"/>
  <c r="J42"/>
  <c r="K33"/>
  <c r="AC50" i="30" s="1"/>
  <c r="K34" i="15"/>
  <c r="AC51" i="30" s="1"/>
  <c r="K35" i="15"/>
  <c r="AC52" i="30" s="1"/>
  <c r="K37" i="15"/>
  <c r="AC54" i="30" s="1"/>
  <c r="K42" i="15"/>
  <c r="AC59" i="30" s="1"/>
  <c r="K31" i="15"/>
  <c r="AC48" i="30" s="1"/>
  <c r="K32" i="15"/>
  <c r="AC49" i="30" s="1"/>
  <c r="K36" i="15"/>
  <c r="AC53" i="30" s="1"/>
  <c r="K38" i="15"/>
  <c r="AC55" i="30" s="1"/>
  <c r="K39" i="15"/>
  <c r="AC56" i="30" s="1"/>
  <c r="K40" i="15"/>
  <c r="AC57" i="30" s="1"/>
  <c r="K41" i="15"/>
  <c r="AC58" i="30" s="1"/>
  <c r="F31" i="15"/>
  <c r="F32"/>
  <c r="F33"/>
  <c r="F34"/>
  <c r="F35"/>
  <c r="F36"/>
  <c r="F37"/>
  <c r="F38"/>
  <c r="F39"/>
  <c r="F40"/>
  <c r="F41"/>
  <c r="F42"/>
  <c r="G33"/>
  <c r="Q50" i="30" s="1"/>
  <c r="G34" i="15"/>
  <c r="Q51" i="30" s="1"/>
  <c r="G35" i="15"/>
  <c r="Q52" i="30" s="1"/>
  <c r="G37" i="15"/>
  <c r="Q54" i="30" s="1"/>
  <c r="G42" i="15"/>
  <c r="Q59" i="30" s="1"/>
  <c r="G31" i="15"/>
  <c r="Q48" i="30" s="1"/>
  <c r="G32" i="15"/>
  <c r="Q49" i="30" s="1"/>
  <c r="G36" i="15"/>
  <c r="Q53" i="30" s="1"/>
  <c r="G38" i="15"/>
  <c r="Q55" i="30" s="1"/>
  <c r="G39" i="15"/>
  <c r="I39" s="1"/>
  <c r="G40"/>
  <c r="Q57" i="30" s="1"/>
  <c r="G41" i="15"/>
  <c r="Q58" i="30" s="1"/>
  <c r="B31" i="15"/>
  <c r="B32"/>
  <c r="B33"/>
  <c r="B34"/>
  <c r="B35"/>
  <c r="B36"/>
  <c r="B37"/>
  <c r="B38"/>
  <c r="B39"/>
  <c r="D39" s="1"/>
  <c r="B40"/>
  <c r="B41"/>
  <c r="B42"/>
  <c r="C43"/>
  <c r="P22" i="18"/>
  <c r="P11"/>
  <c r="P12"/>
  <c r="P13"/>
  <c r="P14"/>
  <c r="P15"/>
  <c r="P16"/>
  <c r="P17"/>
  <c r="P18"/>
  <c r="P19"/>
  <c r="P20"/>
  <c r="P21"/>
  <c r="P23"/>
  <c r="O24"/>
  <c r="N25" s="1"/>
  <c r="O23"/>
  <c r="L22"/>
  <c r="L11"/>
  <c r="L12"/>
  <c r="L13"/>
  <c r="L14"/>
  <c r="L15"/>
  <c r="L16"/>
  <c r="L17"/>
  <c r="L18"/>
  <c r="L19"/>
  <c r="L20"/>
  <c r="L21"/>
  <c r="L23"/>
  <c r="K24"/>
  <c r="J25" s="1"/>
  <c r="J24"/>
  <c r="K23"/>
  <c r="H22"/>
  <c r="H11"/>
  <c r="H12"/>
  <c r="H13"/>
  <c r="H14"/>
  <c r="H15"/>
  <c r="H16"/>
  <c r="H17"/>
  <c r="H18"/>
  <c r="H19"/>
  <c r="H20"/>
  <c r="H21"/>
  <c r="H23"/>
  <c r="G24"/>
  <c r="F25" s="1"/>
  <c r="F24"/>
  <c r="G23"/>
  <c r="D22"/>
  <c r="D11"/>
  <c r="D12"/>
  <c r="D13"/>
  <c r="D14"/>
  <c r="D15"/>
  <c r="D16"/>
  <c r="D17"/>
  <c r="D18"/>
  <c r="D19"/>
  <c r="D20"/>
  <c r="D21"/>
  <c r="D23"/>
  <c r="C24"/>
  <c r="B25"/>
  <c r="B24"/>
  <c r="B23"/>
  <c r="C23"/>
  <c r="P22" i="17"/>
  <c r="P11"/>
  <c r="P12"/>
  <c r="P13"/>
  <c r="P14"/>
  <c r="P15"/>
  <c r="P16"/>
  <c r="P17"/>
  <c r="P18"/>
  <c r="Q18" s="1"/>
  <c r="P19"/>
  <c r="P20"/>
  <c r="P21"/>
  <c r="P23"/>
  <c r="O24"/>
  <c r="N25" s="1"/>
  <c r="O23"/>
  <c r="L22"/>
  <c r="L11"/>
  <c r="L12"/>
  <c r="L13"/>
  <c r="L14"/>
  <c r="L15"/>
  <c r="L16"/>
  <c r="L17"/>
  <c r="L18"/>
  <c r="L19"/>
  <c r="L20"/>
  <c r="L21"/>
  <c r="L23"/>
  <c r="K24"/>
  <c r="J25"/>
  <c r="J24"/>
  <c r="J23"/>
  <c r="K23"/>
  <c r="H22"/>
  <c r="H11"/>
  <c r="H12"/>
  <c r="H13"/>
  <c r="H14"/>
  <c r="H15"/>
  <c r="H16"/>
  <c r="H17"/>
  <c r="H18"/>
  <c r="H19"/>
  <c r="H20"/>
  <c r="H21"/>
  <c r="H23"/>
  <c r="G24"/>
  <c r="F25" s="1"/>
  <c r="F24"/>
  <c r="G23"/>
  <c r="D22"/>
  <c r="D11"/>
  <c r="D12"/>
  <c r="D13"/>
  <c r="D14"/>
  <c r="D15"/>
  <c r="D16"/>
  <c r="D17"/>
  <c r="D18"/>
  <c r="D19"/>
  <c r="D20"/>
  <c r="D21"/>
  <c r="D23"/>
  <c r="C24"/>
  <c r="B25" s="1"/>
  <c r="B24"/>
  <c r="C23"/>
  <c r="P22" i="16"/>
  <c r="P11"/>
  <c r="P12"/>
  <c r="P13"/>
  <c r="P14"/>
  <c r="P15"/>
  <c r="P16"/>
  <c r="P17"/>
  <c r="P18"/>
  <c r="P19"/>
  <c r="P20"/>
  <c r="P21"/>
  <c r="O24"/>
  <c r="N25" s="1"/>
  <c r="O23"/>
  <c r="L22"/>
  <c r="L11"/>
  <c r="L12"/>
  <c r="L13"/>
  <c r="L14"/>
  <c r="L15"/>
  <c r="L16"/>
  <c r="L17"/>
  <c r="L18"/>
  <c r="L19"/>
  <c r="L20"/>
  <c r="L21"/>
  <c r="L23"/>
  <c r="K24"/>
  <c r="J25" s="1"/>
  <c r="K23"/>
  <c r="H22"/>
  <c r="H11"/>
  <c r="H12"/>
  <c r="H13"/>
  <c r="H14"/>
  <c r="H15"/>
  <c r="H16"/>
  <c r="H17"/>
  <c r="H18"/>
  <c r="H19"/>
  <c r="H20"/>
  <c r="H21"/>
  <c r="G24"/>
  <c r="F25" s="1"/>
  <c r="G23"/>
  <c r="D22"/>
  <c r="D11"/>
  <c r="D12"/>
  <c r="D13"/>
  <c r="D14"/>
  <c r="D15"/>
  <c r="D16"/>
  <c r="D17"/>
  <c r="D18"/>
  <c r="D19"/>
  <c r="D20"/>
  <c r="D21"/>
  <c r="C24"/>
  <c r="B25" s="1"/>
  <c r="C23"/>
  <c r="P11" i="15"/>
  <c r="P12"/>
  <c r="P13"/>
  <c r="P14"/>
  <c r="P15"/>
  <c r="P16"/>
  <c r="P17"/>
  <c r="P18"/>
  <c r="P20"/>
  <c r="P21"/>
  <c r="P22"/>
  <c r="L11"/>
  <c r="L12"/>
  <c r="L13"/>
  <c r="L14"/>
  <c r="L15"/>
  <c r="L16"/>
  <c r="L17"/>
  <c r="L18"/>
  <c r="L19"/>
  <c r="L20"/>
  <c r="L21"/>
  <c r="L22"/>
  <c r="K24"/>
  <c r="J25" s="1"/>
  <c r="H11"/>
  <c r="H12"/>
  <c r="H13"/>
  <c r="H14"/>
  <c r="H15"/>
  <c r="H16"/>
  <c r="H17"/>
  <c r="H18"/>
  <c r="H19"/>
  <c r="H20"/>
  <c r="H21"/>
  <c r="H22"/>
  <c r="G24"/>
  <c r="F25" s="1"/>
  <c r="D11"/>
  <c r="D12"/>
  <c r="D13"/>
  <c r="D14"/>
  <c r="D15"/>
  <c r="D16"/>
  <c r="D17"/>
  <c r="D18"/>
  <c r="D19"/>
  <c r="D20"/>
  <c r="D21"/>
  <c r="D22"/>
  <c r="D23"/>
  <c r="C24"/>
  <c r="B25" s="1"/>
  <c r="P42"/>
  <c r="P31"/>
  <c r="P32"/>
  <c r="P33"/>
  <c r="P34"/>
  <c r="P35"/>
  <c r="P40"/>
  <c r="P41"/>
  <c r="L42"/>
  <c r="L31"/>
  <c r="L32"/>
  <c r="L33"/>
  <c r="L34"/>
  <c r="L35"/>
  <c r="L36"/>
  <c r="L37"/>
  <c r="L38"/>
  <c r="L39"/>
  <c r="L40"/>
  <c r="L41"/>
  <c r="H42"/>
  <c r="H31"/>
  <c r="H32"/>
  <c r="H33"/>
  <c r="H34"/>
  <c r="H35"/>
  <c r="H36"/>
  <c r="H37"/>
  <c r="H39"/>
  <c r="H40"/>
  <c r="H41"/>
  <c r="D42"/>
  <c r="D31"/>
  <c r="D32"/>
  <c r="D33"/>
  <c r="D34"/>
  <c r="D35"/>
  <c r="D36"/>
  <c r="D37"/>
  <c r="D38"/>
  <c r="D40"/>
  <c r="D41"/>
  <c r="C44" i="21"/>
  <c r="K44" i="20"/>
  <c r="S29" i="21"/>
  <c r="R29"/>
  <c r="R30" i="22"/>
  <c r="R29" i="20"/>
  <c r="Q31" i="18"/>
  <c r="Q32"/>
  <c r="Q33"/>
  <c r="Q34"/>
  <c r="Q35"/>
  <c r="Q37"/>
  <c r="Q39"/>
  <c r="Q40"/>
  <c r="Q41"/>
  <c r="Q42"/>
  <c r="M31"/>
  <c r="M32"/>
  <c r="M33"/>
  <c r="M34"/>
  <c r="M35"/>
  <c r="M36"/>
  <c r="M37"/>
  <c r="M38"/>
  <c r="M39"/>
  <c r="M40"/>
  <c r="M41"/>
  <c r="M42"/>
  <c r="I31"/>
  <c r="I32"/>
  <c r="I33"/>
  <c r="I34"/>
  <c r="I35"/>
  <c r="I36"/>
  <c r="I37"/>
  <c r="I38"/>
  <c r="I39"/>
  <c r="I40"/>
  <c r="I41"/>
  <c r="I42"/>
  <c r="E31"/>
  <c r="E32"/>
  <c r="E33"/>
  <c r="E34"/>
  <c r="E35"/>
  <c r="E36"/>
  <c r="E37"/>
  <c r="E38"/>
  <c r="E39"/>
  <c r="E40"/>
  <c r="E41"/>
  <c r="E42"/>
  <c r="Q31" i="17"/>
  <c r="Q32"/>
  <c r="Q33"/>
  <c r="Q34"/>
  <c r="Q35"/>
  <c r="Q37"/>
  <c r="Q39"/>
  <c r="Q40"/>
  <c r="Q41"/>
  <c r="Q42"/>
  <c r="M31"/>
  <c r="M32"/>
  <c r="M33"/>
  <c r="M34"/>
  <c r="M35"/>
  <c r="M36"/>
  <c r="M37"/>
  <c r="M38"/>
  <c r="M39"/>
  <c r="M40"/>
  <c r="M41"/>
  <c r="M42"/>
  <c r="I31"/>
  <c r="I32"/>
  <c r="I33"/>
  <c r="I34"/>
  <c r="I35"/>
  <c r="I36"/>
  <c r="I37"/>
  <c r="I38"/>
  <c r="I39"/>
  <c r="I40"/>
  <c r="I41"/>
  <c r="I42"/>
  <c r="E31"/>
  <c r="E32"/>
  <c r="E33"/>
  <c r="E34"/>
  <c r="E35"/>
  <c r="E36"/>
  <c r="E37"/>
  <c r="E38"/>
  <c r="E39"/>
  <c r="E40"/>
  <c r="E41"/>
  <c r="E42"/>
  <c r="Q31" i="16"/>
  <c r="Q32"/>
  <c r="Q33"/>
  <c r="Q34"/>
  <c r="Q35"/>
  <c r="Q40"/>
  <c r="Q41"/>
  <c r="Q42"/>
  <c r="M31"/>
  <c r="M32"/>
  <c r="M33"/>
  <c r="M34"/>
  <c r="M35"/>
  <c r="M36"/>
  <c r="M37"/>
  <c r="M38"/>
  <c r="M40"/>
  <c r="M41"/>
  <c r="M42"/>
  <c r="I31"/>
  <c r="I32"/>
  <c r="I33"/>
  <c r="I34"/>
  <c r="I35"/>
  <c r="I36"/>
  <c r="I37"/>
  <c r="I38"/>
  <c r="I39"/>
  <c r="I40"/>
  <c r="I41"/>
  <c r="I42"/>
  <c r="E31"/>
  <c r="E32"/>
  <c r="E33"/>
  <c r="E34"/>
  <c r="E35"/>
  <c r="E36"/>
  <c r="E37"/>
  <c r="E38"/>
  <c r="E39"/>
  <c r="E40"/>
  <c r="E41"/>
  <c r="E42"/>
  <c r="S29" i="17"/>
  <c r="S29" i="18"/>
  <c r="R29"/>
  <c r="S29" i="16"/>
  <c r="R29"/>
  <c r="K44" i="18"/>
  <c r="G44"/>
  <c r="C44"/>
  <c r="K44" i="16"/>
  <c r="G44"/>
  <c r="C44"/>
  <c r="K44" i="17"/>
  <c r="G44"/>
  <c r="C44"/>
  <c r="Q11"/>
  <c r="Q12"/>
  <c r="Q13"/>
  <c r="Q14"/>
  <c r="Q15"/>
  <c r="Q16"/>
  <c r="Q17"/>
  <c r="Q19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6"/>
  <c r="I17"/>
  <c r="I18"/>
  <c r="I19"/>
  <c r="I20"/>
  <c r="I21"/>
  <c r="I22"/>
  <c r="E11"/>
  <c r="E12"/>
  <c r="E13"/>
  <c r="E14"/>
  <c r="E15"/>
  <c r="E16"/>
  <c r="E17"/>
  <c r="E18"/>
  <c r="E19"/>
  <c r="E20"/>
  <c r="E21"/>
  <c r="E22"/>
  <c r="Q11" i="18"/>
  <c r="Q12"/>
  <c r="Q13"/>
  <c r="Q14"/>
  <c r="Q15"/>
  <c r="Q16"/>
  <c r="Q17"/>
  <c r="Q18"/>
  <c r="Q19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6"/>
  <c r="I17"/>
  <c r="I18"/>
  <c r="I19"/>
  <c r="I20"/>
  <c r="I21"/>
  <c r="I22"/>
  <c r="E11"/>
  <c r="E12"/>
  <c r="E13"/>
  <c r="E14"/>
  <c r="E15"/>
  <c r="E16"/>
  <c r="E17"/>
  <c r="E18"/>
  <c r="E19"/>
  <c r="E20"/>
  <c r="E21"/>
  <c r="E22"/>
  <c r="Q11" i="16"/>
  <c r="Q12"/>
  <c r="Q13"/>
  <c r="Q14"/>
  <c r="Q15"/>
  <c r="Q16"/>
  <c r="Q17"/>
  <c r="Q18"/>
  <c r="Q19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6"/>
  <c r="I17"/>
  <c r="I18"/>
  <c r="I19"/>
  <c r="I20"/>
  <c r="I21"/>
  <c r="I22"/>
  <c r="E11"/>
  <c r="E12"/>
  <c r="E13"/>
  <c r="E14"/>
  <c r="E15"/>
  <c r="E16"/>
  <c r="E17"/>
  <c r="E18"/>
  <c r="E19"/>
  <c r="E20"/>
  <c r="E21"/>
  <c r="E22"/>
  <c r="Q31" i="15"/>
  <c r="Q32"/>
  <c r="Q33"/>
  <c r="Q34"/>
  <c r="Q35"/>
  <c r="Q40"/>
  <c r="Q41"/>
  <c r="Q42"/>
  <c r="S29"/>
  <c r="M31"/>
  <c r="M32"/>
  <c r="M33"/>
  <c r="M34"/>
  <c r="M35"/>
  <c r="M36"/>
  <c r="M37"/>
  <c r="M38"/>
  <c r="M39"/>
  <c r="M40"/>
  <c r="M41"/>
  <c r="M42"/>
  <c r="I31"/>
  <c r="I32"/>
  <c r="I33"/>
  <c r="I34"/>
  <c r="I35"/>
  <c r="I36"/>
  <c r="I37"/>
  <c r="I38"/>
  <c r="I40"/>
  <c r="I41"/>
  <c r="I42"/>
  <c r="E41"/>
  <c r="E31"/>
  <c r="E32"/>
  <c r="E33"/>
  <c r="E34"/>
  <c r="E35"/>
  <c r="E36"/>
  <c r="E37"/>
  <c r="E38"/>
  <c r="E40"/>
  <c r="E42"/>
  <c r="K44"/>
  <c r="C44"/>
  <c r="Q11"/>
  <c r="Q12"/>
  <c r="Q13"/>
  <c r="Q14"/>
  <c r="Q15"/>
  <c r="Q16"/>
  <c r="Q17"/>
  <c r="Q18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7"/>
  <c r="I18"/>
  <c r="I19"/>
  <c r="I20"/>
  <c r="I21"/>
  <c r="I22"/>
  <c r="E11"/>
  <c r="E12"/>
  <c r="E13"/>
  <c r="E14"/>
  <c r="E15"/>
  <c r="E16"/>
  <c r="E17"/>
  <c r="E18"/>
  <c r="E19"/>
  <c r="E20"/>
  <c r="E21"/>
  <c r="E22"/>
  <c r="K23"/>
  <c r="G23"/>
  <c r="C23"/>
  <c r="O29" i="16"/>
  <c r="N29"/>
  <c r="K29"/>
  <c r="J29"/>
  <c r="G29"/>
  <c r="F29"/>
  <c r="C29"/>
  <c r="B29"/>
  <c r="O9"/>
  <c r="N9"/>
  <c r="K9"/>
  <c r="J9"/>
  <c r="O29" i="17"/>
  <c r="K29"/>
  <c r="G29"/>
  <c r="C29"/>
  <c r="O9"/>
  <c r="K9"/>
  <c r="O29" i="18"/>
  <c r="N29"/>
  <c r="K29"/>
  <c r="J29"/>
  <c r="G29"/>
  <c r="F29"/>
  <c r="C29"/>
  <c r="B29"/>
  <c r="O9"/>
  <c r="N9"/>
  <c r="K9"/>
  <c r="J9"/>
  <c r="O29" i="20"/>
  <c r="K29"/>
  <c r="G29"/>
  <c r="C29"/>
  <c r="O9"/>
  <c r="K9"/>
  <c r="O29" i="21"/>
  <c r="N29"/>
  <c r="K29"/>
  <c r="J29"/>
  <c r="G29"/>
  <c r="F29"/>
  <c r="C29"/>
  <c r="B29"/>
  <c r="O9"/>
  <c r="N9"/>
  <c r="K9"/>
  <c r="J9"/>
  <c r="O30" i="22"/>
  <c r="K30"/>
  <c r="G30"/>
  <c r="C30"/>
  <c r="O10"/>
  <c r="K10"/>
  <c r="O29" i="15"/>
  <c r="N29"/>
  <c r="K29"/>
  <c r="J29"/>
  <c r="G29"/>
  <c r="F29"/>
  <c r="C29"/>
  <c r="B29"/>
  <c r="O9"/>
  <c r="N9"/>
  <c r="K9"/>
  <c r="J9"/>
  <c r="G9" i="16"/>
  <c r="G9" i="17"/>
  <c r="G9" i="18"/>
  <c r="G9" i="20"/>
  <c r="G9" i="21"/>
  <c r="G10" i="22"/>
  <c r="G9" i="15"/>
  <c r="F9" i="16"/>
  <c r="F9" i="17"/>
  <c r="F9" i="18"/>
  <c r="F9" i="20"/>
  <c r="F9" i="21"/>
  <c r="F10" i="22"/>
  <c r="F9" i="15"/>
  <c r="I18" i="22"/>
  <c r="I19"/>
  <c r="I21"/>
  <c r="I22"/>
  <c r="I23"/>
  <c r="M18"/>
  <c r="M19"/>
  <c r="M21"/>
  <c r="M22"/>
  <c r="M23"/>
  <c r="E23"/>
  <c r="Q23"/>
  <c r="E22"/>
  <c r="Q22"/>
  <c r="E21"/>
  <c r="Q21"/>
  <c r="E20"/>
  <c r="E19"/>
  <c r="E18"/>
  <c r="I12"/>
  <c r="M12"/>
  <c r="E12"/>
  <c r="E13"/>
  <c r="I13"/>
  <c r="M13"/>
  <c r="E14"/>
  <c r="I14"/>
  <c r="M14"/>
  <c r="E15"/>
  <c r="I15"/>
  <c r="M15"/>
  <c r="E16"/>
  <c r="I16"/>
  <c r="M16"/>
  <c r="I17"/>
  <c r="M17"/>
  <c r="E17"/>
  <c r="Q22" i="20"/>
  <c r="Q21"/>
  <c r="Q20"/>
  <c r="M22"/>
  <c r="M21"/>
  <c r="M20"/>
  <c r="M19"/>
  <c r="M18"/>
  <c r="M17"/>
  <c r="M16"/>
  <c r="M15"/>
  <c r="M14"/>
  <c r="M13"/>
  <c r="M12"/>
  <c r="M11"/>
  <c r="I22"/>
  <c r="I21"/>
  <c r="I20"/>
  <c r="I18"/>
  <c r="I17"/>
  <c r="I16"/>
  <c r="I15"/>
  <c r="I14"/>
  <c r="I13"/>
  <c r="I12"/>
  <c r="I11"/>
  <c r="E22"/>
  <c r="E21"/>
  <c r="E20"/>
  <c r="E19"/>
  <c r="E18"/>
  <c r="E17"/>
  <c r="E16"/>
  <c r="E15"/>
  <c r="E14"/>
  <c r="E13"/>
  <c r="E12"/>
  <c r="E11"/>
  <c r="Q22" i="21"/>
  <c r="Q21"/>
  <c r="Q20"/>
  <c r="M22"/>
  <c r="M21"/>
  <c r="M20"/>
  <c r="M19"/>
  <c r="M18"/>
  <c r="M17"/>
  <c r="M16"/>
  <c r="M15"/>
  <c r="M14"/>
  <c r="M13"/>
  <c r="M12"/>
  <c r="M11"/>
  <c r="I22"/>
  <c r="I21"/>
  <c r="I20"/>
  <c r="I19"/>
  <c r="I18"/>
  <c r="I17"/>
  <c r="I16"/>
  <c r="I15"/>
  <c r="I14"/>
  <c r="I13"/>
  <c r="I12"/>
  <c r="I11"/>
  <c r="E22"/>
  <c r="E21"/>
  <c r="E20"/>
  <c r="E19"/>
  <c r="E18"/>
  <c r="E17"/>
  <c r="E16"/>
  <c r="E15"/>
  <c r="E14"/>
  <c r="E13"/>
  <c r="E12"/>
  <c r="E11"/>
  <c r="B10" i="28"/>
  <c r="B10" i="16"/>
  <c r="B10" i="26"/>
  <c r="B10" i="25"/>
  <c r="S43" i="15"/>
  <c r="B10"/>
  <c r="S43" i="16"/>
  <c r="S43" i="17"/>
  <c r="B10"/>
  <c r="S43" i="18"/>
  <c r="B10"/>
  <c r="S44" i="22"/>
  <c r="C11"/>
  <c r="R44"/>
  <c r="B11"/>
  <c r="S43" i="20"/>
  <c r="C10"/>
  <c r="R43"/>
  <c r="B10"/>
  <c r="S43" i="21"/>
  <c r="C10"/>
  <c r="R43"/>
  <c r="B10"/>
  <c r="O29" i="25" l="1"/>
  <c r="G29"/>
  <c r="O9"/>
  <c r="J44"/>
  <c r="H23" i="16"/>
  <c r="C43"/>
  <c r="F43" i="15"/>
  <c r="F44" i="26"/>
  <c r="G44"/>
  <c r="I34" i="20"/>
  <c r="I32"/>
  <c r="L35"/>
  <c r="L33"/>
  <c r="L31"/>
  <c r="D32" i="21"/>
  <c r="I34"/>
  <c r="H32"/>
  <c r="L35"/>
  <c r="L33"/>
  <c r="L31"/>
  <c r="H35" i="22"/>
  <c r="D34"/>
  <c r="F37"/>
  <c r="H37" s="1"/>
  <c r="J38"/>
  <c r="F39"/>
  <c r="H39" s="1"/>
  <c r="J37" i="21"/>
  <c r="M37" s="1"/>
  <c r="K24"/>
  <c r="J25" s="1"/>
  <c r="H19" i="20"/>
  <c r="I19" s="1"/>
  <c r="H39" i="21"/>
  <c r="O19"/>
  <c r="L39" i="20"/>
  <c r="H39"/>
  <c r="O20" i="22"/>
  <c r="O19" i="20"/>
  <c r="E39"/>
  <c r="F24" i="16"/>
  <c r="H39"/>
  <c r="G43"/>
  <c r="L39" i="21"/>
  <c r="K44"/>
  <c r="M39" i="16"/>
  <c r="L20" i="22"/>
  <c r="M20" s="1"/>
  <c r="P39" i="16"/>
  <c r="Q39"/>
  <c r="U39"/>
  <c r="I56" i="30"/>
  <c r="L43" i="15"/>
  <c r="L23"/>
  <c r="Q56" i="30"/>
  <c r="O23" i="15"/>
  <c r="G44"/>
  <c r="G44" i="20"/>
  <c r="O24" i="15"/>
  <c r="N25" s="1"/>
  <c r="P19"/>
  <c r="Q19" s="1"/>
  <c r="G23" i="20"/>
  <c r="G24" i="22"/>
  <c r="H20"/>
  <c r="I20" s="1"/>
  <c r="I39" i="20"/>
  <c r="U39" i="15"/>
  <c r="P39"/>
  <c r="Q39"/>
  <c r="E39"/>
  <c r="D43"/>
  <c r="B24"/>
  <c r="K43" i="25"/>
  <c r="J40" i="22"/>
  <c r="L40" s="1"/>
  <c r="L43" i="26"/>
  <c r="G43"/>
  <c r="H43"/>
  <c r="Y56" i="30"/>
  <c r="H23" i="26"/>
  <c r="N39"/>
  <c r="T39" s="1"/>
  <c r="P39"/>
  <c r="Q39" s="1"/>
  <c r="U39"/>
  <c r="L23" i="25"/>
  <c r="M23" s="1"/>
  <c r="J43"/>
  <c r="H23"/>
  <c r="I23" s="1"/>
  <c r="N39"/>
  <c r="T39" s="1"/>
  <c r="U39"/>
  <c r="P39"/>
  <c r="Q39" s="1"/>
  <c r="C24" i="22"/>
  <c r="C25"/>
  <c r="B26" s="1"/>
  <c r="B40"/>
  <c r="C40"/>
  <c r="B43" i="25"/>
  <c r="L23" i="21"/>
  <c r="K43"/>
  <c r="K43" i="20"/>
  <c r="H43" i="18"/>
  <c r="D23" i="21"/>
  <c r="O18"/>
  <c r="E38"/>
  <c r="H38" i="20"/>
  <c r="O19" i="22"/>
  <c r="O18" i="20"/>
  <c r="H43" i="16"/>
  <c r="F43"/>
  <c r="I43" s="1"/>
  <c r="P23"/>
  <c r="B43"/>
  <c r="E43" s="1"/>
  <c r="L38" i="21"/>
  <c r="L23" i="26"/>
  <c r="M23" s="1"/>
  <c r="J44"/>
  <c r="J43" s="1"/>
  <c r="I23"/>
  <c r="U38"/>
  <c r="Q23"/>
  <c r="N38"/>
  <c r="T38" s="1"/>
  <c r="K24" i="22"/>
  <c r="M38" i="20"/>
  <c r="H43" i="25"/>
  <c r="F43"/>
  <c r="U38"/>
  <c r="E43"/>
  <c r="O23"/>
  <c r="N38"/>
  <c r="T38" s="1"/>
  <c r="C38" i="20"/>
  <c r="B43" i="15"/>
  <c r="E43" s="1"/>
  <c r="U38" i="18"/>
  <c r="Q38"/>
  <c r="P38"/>
  <c r="T43"/>
  <c r="B30" s="1"/>
  <c r="F23" i="17"/>
  <c r="H38"/>
  <c r="H43" s="1"/>
  <c r="U38"/>
  <c r="P38"/>
  <c r="Q38"/>
  <c r="B38" i="20"/>
  <c r="B43" s="1"/>
  <c r="B39" i="22"/>
  <c r="D39" s="1"/>
  <c r="B23" i="17"/>
  <c r="D38"/>
  <c r="D43" s="1"/>
  <c r="T43"/>
  <c r="B30" s="1"/>
  <c r="J24" i="16"/>
  <c r="J43"/>
  <c r="M43" s="1"/>
  <c r="Q38"/>
  <c r="U38"/>
  <c r="P38"/>
  <c r="D38"/>
  <c r="D24" i="22"/>
  <c r="B23" i="16"/>
  <c r="D23"/>
  <c r="D43"/>
  <c r="J24" i="15"/>
  <c r="J43"/>
  <c r="U38"/>
  <c r="P38"/>
  <c r="Q38"/>
  <c r="H38"/>
  <c r="F24"/>
  <c r="H23"/>
  <c r="H43"/>
  <c r="H37" i="21"/>
  <c r="O17"/>
  <c r="L37" i="20"/>
  <c r="H37"/>
  <c r="O18" i="22"/>
  <c r="O17" i="20"/>
  <c r="D37"/>
  <c r="L37" i="16"/>
  <c r="L43" s="1"/>
  <c r="F23"/>
  <c r="I23" s="1"/>
  <c r="P37"/>
  <c r="Q37"/>
  <c r="U37"/>
  <c r="B24"/>
  <c r="T43"/>
  <c r="B30" s="1"/>
  <c r="J23" i="15"/>
  <c r="M23" s="1"/>
  <c r="K43"/>
  <c r="I37" i="20"/>
  <c r="U37" i="15"/>
  <c r="Q37"/>
  <c r="P37"/>
  <c r="B23"/>
  <c r="E23" s="1"/>
  <c r="N24"/>
  <c r="P23"/>
  <c r="T43"/>
  <c r="B30" s="1"/>
  <c r="K38" i="22"/>
  <c r="M38" s="1"/>
  <c r="M43" i="26"/>
  <c r="I43"/>
  <c r="I17"/>
  <c r="N37"/>
  <c r="T37" s="1"/>
  <c r="M43" i="25"/>
  <c r="G44"/>
  <c r="G43" s="1"/>
  <c r="N37"/>
  <c r="T37" s="1"/>
  <c r="U37"/>
  <c r="P37"/>
  <c r="Q37" s="1"/>
  <c r="E37" i="20"/>
  <c r="D23" i="25"/>
  <c r="E23" s="1"/>
  <c r="P23"/>
  <c r="D43"/>
  <c r="N23"/>
  <c r="T43"/>
  <c r="B30" s="1"/>
  <c r="C44"/>
  <c r="C43" s="1"/>
  <c r="U37" i="26"/>
  <c r="P37"/>
  <c r="Q37" s="1"/>
  <c r="C38" i="22"/>
  <c r="D23" i="26"/>
  <c r="E23" s="1"/>
  <c r="E43"/>
  <c r="T43"/>
  <c r="B30" s="1"/>
  <c r="C44"/>
  <c r="C43" s="1"/>
  <c r="M23" i="17"/>
  <c r="H23" i="21"/>
  <c r="E23" i="18"/>
  <c r="I23" i="17"/>
  <c r="H24" i="22"/>
  <c r="E23" i="17"/>
  <c r="O16" i="21"/>
  <c r="D36"/>
  <c r="H36" i="20"/>
  <c r="O17" i="22"/>
  <c r="O16" i="20"/>
  <c r="E37" i="22"/>
  <c r="G44" i="21"/>
  <c r="F43" i="26"/>
  <c r="G25" i="22"/>
  <c r="F26" s="1"/>
  <c r="F36" i="21"/>
  <c r="H36" s="1"/>
  <c r="O44" i="26"/>
  <c r="O43" s="1"/>
  <c r="P36"/>
  <c r="U36"/>
  <c r="U43" s="1"/>
  <c r="C30" s="1"/>
  <c r="E16"/>
  <c r="D43"/>
  <c r="L43" i="20"/>
  <c r="J37" i="22"/>
  <c r="L43" i="25"/>
  <c r="I43"/>
  <c r="O44"/>
  <c r="O43" s="1"/>
  <c r="P36"/>
  <c r="U36"/>
  <c r="U43" s="1"/>
  <c r="C30" s="1"/>
  <c r="D23" i="20"/>
  <c r="G45" i="22"/>
  <c r="H38"/>
  <c r="I38"/>
  <c r="H40"/>
  <c r="I40"/>
  <c r="H42"/>
  <c r="I42"/>
  <c r="J10"/>
  <c r="N10"/>
  <c r="B30"/>
  <c r="F30"/>
  <c r="J30"/>
  <c r="J9" i="20"/>
  <c r="N9"/>
  <c r="B29"/>
  <c r="F29"/>
  <c r="J29"/>
  <c r="J9" i="17"/>
  <c r="N9"/>
  <c r="B29"/>
  <c r="F29"/>
  <c r="J29"/>
  <c r="N29"/>
  <c r="R29" i="25"/>
  <c r="N29"/>
  <c r="J29"/>
  <c r="F29"/>
  <c r="B29"/>
  <c r="N9"/>
  <c r="J9"/>
  <c r="H23" i="20"/>
  <c r="M31"/>
  <c r="E33"/>
  <c r="M33"/>
  <c r="E35"/>
  <c r="M35"/>
  <c r="D32"/>
  <c r="I32" i="21"/>
  <c r="I36"/>
  <c r="E40"/>
  <c r="H35"/>
  <c r="H33"/>
  <c r="H31"/>
  <c r="I39" i="22"/>
  <c r="I43"/>
  <c r="F36"/>
  <c r="H36" s="1"/>
  <c r="F34"/>
  <c r="H34" s="1"/>
  <c r="F32"/>
  <c r="I32" s="1"/>
  <c r="J32"/>
  <c r="L32" s="1"/>
  <c r="O12"/>
  <c r="O13"/>
  <c r="J34"/>
  <c r="M34" s="1"/>
  <c r="O14"/>
  <c r="O15"/>
  <c r="J36"/>
  <c r="M36" s="1"/>
  <c r="O16"/>
  <c r="O11" i="21"/>
  <c r="O12"/>
  <c r="O13"/>
  <c r="O14"/>
  <c r="O15"/>
  <c r="O11" i="20"/>
  <c r="O12"/>
  <c r="O13"/>
  <c r="O14"/>
  <c r="O15"/>
  <c r="L23"/>
  <c r="L24" i="22"/>
  <c r="C43" i="20"/>
  <c r="F43"/>
  <c r="C43" i="21"/>
  <c r="G43"/>
  <c r="E36" i="22"/>
  <c r="G44"/>
  <c r="N12"/>
  <c r="N13"/>
  <c r="N14"/>
  <c r="N15"/>
  <c r="N16"/>
  <c r="N17"/>
  <c r="N18"/>
  <c r="N19"/>
  <c r="N20"/>
  <c r="N21"/>
  <c r="N22"/>
  <c r="N23"/>
  <c r="N11" i="21"/>
  <c r="N12"/>
  <c r="N13"/>
  <c r="N14"/>
  <c r="N15"/>
  <c r="N16"/>
  <c r="N17"/>
  <c r="N18"/>
  <c r="N19"/>
  <c r="N20"/>
  <c r="N21"/>
  <c r="N22"/>
  <c r="N11" i="20"/>
  <c r="N12"/>
  <c r="N13"/>
  <c r="N14"/>
  <c r="N15"/>
  <c r="N16"/>
  <c r="N17"/>
  <c r="N18"/>
  <c r="N19"/>
  <c r="N20"/>
  <c r="N21"/>
  <c r="N22"/>
  <c r="J23" i="18"/>
  <c r="M23" s="1"/>
  <c r="N24"/>
  <c r="N23" s="1"/>
  <c r="Q23" s="1"/>
  <c r="F43" i="21"/>
  <c r="F23" i="18"/>
  <c r="I23" s="1"/>
  <c r="F24" i="21"/>
  <c r="O43" i="18"/>
  <c r="Q43" s="1"/>
  <c r="U36"/>
  <c r="U43" s="1"/>
  <c r="C30" s="1"/>
  <c r="P36"/>
  <c r="P43" s="1"/>
  <c r="Q36"/>
  <c r="O44"/>
  <c r="E36" i="21"/>
  <c r="L36" i="17"/>
  <c r="L43" s="1"/>
  <c r="N24"/>
  <c r="O43"/>
  <c r="Q43" s="1"/>
  <c r="O44"/>
  <c r="U36"/>
  <c r="U43" s="1"/>
  <c r="C30" s="1"/>
  <c r="P36"/>
  <c r="P43" s="1"/>
  <c r="Q36"/>
  <c r="N23"/>
  <c r="Q23" s="1"/>
  <c r="J23" i="16"/>
  <c r="M23" s="1"/>
  <c r="N24"/>
  <c r="J43" i="21"/>
  <c r="M43" s="1"/>
  <c r="U36" i="16"/>
  <c r="U43" s="1"/>
  <c r="C30" s="1"/>
  <c r="P36"/>
  <c r="P43" s="1"/>
  <c r="Q36"/>
  <c r="O43"/>
  <c r="Q43" s="1"/>
  <c r="O44"/>
  <c r="N23"/>
  <c r="Q23" s="1"/>
  <c r="M43" i="15"/>
  <c r="N23"/>
  <c r="Q23" s="1"/>
  <c r="G43" i="20"/>
  <c r="I43" s="1"/>
  <c r="I16" i="15"/>
  <c r="F23"/>
  <c r="I23" s="1"/>
  <c r="G43"/>
  <c r="I43" s="1"/>
  <c r="F24" i="20"/>
  <c r="F25" i="22"/>
  <c r="I36" i="20"/>
  <c r="I37" i="22"/>
  <c r="F44"/>
  <c r="U36" i="15"/>
  <c r="U43" s="1"/>
  <c r="C30" s="1"/>
  <c r="P36"/>
  <c r="P43" s="1"/>
  <c r="Q36"/>
  <c r="O44"/>
  <c r="O43"/>
  <c r="Q43" s="1"/>
  <c r="H43" i="20"/>
  <c r="B43" i="21"/>
  <c r="E32"/>
  <c r="D41"/>
  <c r="E41"/>
  <c r="D39"/>
  <c r="E39"/>
  <c r="D37"/>
  <c r="E37"/>
  <c r="D35"/>
  <c r="E35"/>
  <c r="D33"/>
  <c r="E33"/>
  <c r="D31"/>
  <c r="D43" s="1"/>
  <c r="E31"/>
  <c r="J43" i="20"/>
  <c r="M43" s="1"/>
  <c r="L34" i="22"/>
  <c r="J44"/>
  <c r="M32"/>
  <c r="O32"/>
  <c r="N32"/>
  <c r="K44"/>
  <c r="M44" s="1"/>
  <c r="L33"/>
  <c r="M33"/>
  <c r="O33"/>
  <c r="N33"/>
  <c r="T33" s="1"/>
  <c r="O34"/>
  <c r="N34"/>
  <c r="T34" s="1"/>
  <c r="L35"/>
  <c r="M35"/>
  <c r="O35"/>
  <c r="N35"/>
  <c r="T35" s="1"/>
  <c r="O36"/>
  <c r="N36"/>
  <c r="T36" s="1"/>
  <c r="L37"/>
  <c r="M37"/>
  <c r="O37"/>
  <c r="N37"/>
  <c r="T37" s="1"/>
  <c r="O38"/>
  <c r="N38"/>
  <c r="T38" s="1"/>
  <c r="L39"/>
  <c r="M39"/>
  <c r="O39"/>
  <c r="N39"/>
  <c r="T39" s="1"/>
  <c r="O40"/>
  <c r="N40"/>
  <c r="T40" s="1"/>
  <c r="O41"/>
  <c r="N41"/>
  <c r="T41" s="1"/>
  <c r="O42"/>
  <c r="N42"/>
  <c r="T42" s="1"/>
  <c r="O43"/>
  <c r="N43"/>
  <c r="T43" s="1"/>
  <c r="O31" i="21"/>
  <c r="N31"/>
  <c r="O32"/>
  <c r="N32"/>
  <c r="T32" s="1"/>
  <c r="O33"/>
  <c r="N33"/>
  <c r="T33" s="1"/>
  <c r="O34"/>
  <c r="N34"/>
  <c r="T34" s="1"/>
  <c r="O35"/>
  <c r="N35"/>
  <c r="T35" s="1"/>
  <c r="O36"/>
  <c r="N36"/>
  <c r="T36" s="1"/>
  <c r="O37"/>
  <c r="N37"/>
  <c r="T37" s="1"/>
  <c r="O38"/>
  <c r="N38"/>
  <c r="T38" s="1"/>
  <c r="O39"/>
  <c r="N39"/>
  <c r="T39" s="1"/>
  <c r="O40"/>
  <c r="N40"/>
  <c r="T40" s="1"/>
  <c r="O41"/>
  <c r="N41"/>
  <c r="T41" s="1"/>
  <c r="O42"/>
  <c r="N42"/>
  <c r="T42" s="1"/>
  <c r="O31" i="20"/>
  <c r="N31"/>
  <c r="O32"/>
  <c r="N32"/>
  <c r="T32" s="1"/>
  <c r="O33"/>
  <c r="N33"/>
  <c r="T33" s="1"/>
  <c r="O34"/>
  <c r="N34"/>
  <c r="T34" s="1"/>
  <c r="O35"/>
  <c r="N35"/>
  <c r="T35" s="1"/>
  <c r="O36"/>
  <c r="N36"/>
  <c r="T36" s="1"/>
  <c r="O37"/>
  <c r="N37"/>
  <c r="T37" s="1"/>
  <c r="O38"/>
  <c r="N38"/>
  <c r="T38" s="1"/>
  <c r="O39"/>
  <c r="N39"/>
  <c r="T39" s="1"/>
  <c r="O40"/>
  <c r="N40"/>
  <c r="T40" s="1"/>
  <c r="O41"/>
  <c r="N41"/>
  <c r="T41" s="1"/>
  <c r="O42"/>
  <c r="N42"/>
  <c r="T42" s="1"/>
  <c r="S29" i="26"/>
  <c r="O29"/>
  <c r="K29"/>
  <c r="G29"/>
  <c r="C29"/>
  <c r="O9"/>
  <c r="K9"/>
  <c r="R29" i="28"/>
  <c r="N29"/>
  <c r="J29"/>
  <c r="F29"/>
  <c r="B29"/>
  <c r="N9"/>
  <c r="J9"/>
  <c r="F23" i="20"/>
  <c r="I23" s="1"/>
  <c r="B24"/>
  <c r="B23" s="1"/>
  <c r="E23" s="1"/>
  <c r="J24"/>
  <c r="J23" s="1"/>
  <c r="M23" s="1"/>
  <c r="F23" i="21"/>
  <c r="I23" s="1"/>
  <c r="B24"/>
  <c r="B23" s="1"/>
  <c r="E23" s="1"/>
  <c r="J24"/>
  <c r="J23" s="1"/>
  <c r="M23" s="1"/>
  <c r="F24" i="22"/>
  <c r="I24" s="1"/>
  <c r="B25"/>
  <c r="B24" s="1"/>
  <c r="E24" s="1"/>
  <c r="J25"/>
  <c r="J24" s="1"/>
  <c r="M39" i="21"/>
  <c r="M41"/>
  <c r="M42" i="22"/>
  <c r="B32"/>
  <c r="C35"/>
  <c r="C33"/>
  <c r="H43" i="21" l="1"/>
  <c r="P16" i="20"/>
  <c r="Q16" s="1"/>
  <c r="P17" i="22"/>
  <c r="Q17" s="1"/>
  <c r="P16" i="21"/>
  <c r="Q16" s="1"/>
  <c r="P17" i="20"/>
  <c r="Q17" s="1"/>
  <c r="P18" i="22"/>
  <c r="Q18" s="1"/>
  <c r="P17" i="21"/>
  <c r="Q17" s="1"/>
  <c r="P18" i="20"/>
  <c r="Q18" s="1"/>
  <c r="P19" i="22"/>
  <c r="Q19" s="1"/>
  <c r="P18" i="21"/>
  <c r="Q18" s="1"/>
  <c r="P19" i="20"/>
  <c r="Q19" s="1"/>
  <c r="P20" i="22"/>
  <c r="Q20" s="1"/>
  <c r="P19" i="21"/>
  <c r="Q19" s="1"/>
  <c r="L37"/>
  <c r="L43" s="1"/>
  <c r="M40" i="22"/>
  <c r="E23" i="16"/>
  <c r="E40" i="22"/>
  <c r="D40"/>
  <c r="E39"/>
  <c r="E43" i="21"/>
  <c r="P38" i="26"/>
  <c r="Q38" s="1"/>
  <c r="P38" i="25"/>
  <c r="Q38" s="1"/>
  <c r="E38" i="20"/>
  <c r="D38"/>
  <c r="C44"/>
  <c r="D43"/>
  <c r="E43"/>
  <c r="I44" i="22"/>
  <c r="L38"/>
  <c r="K45"/>
  <c r="I43" i="21"/>
  <c r="N44" i="26"/>
  <c r="N43" s="1"/>
  <c r="M24" i="22"/>
  <c r="N44" i="25"/>
  <c r="N43" s="1"/>
  <c r="Q23"/>
  <c r="E38" i="22"/>
  <c r="D38"/>
  <c r="Q36" i="26"/>
  <c r="P43"/>
  <c r="Q36" i="25"/>
  <c r="Q43" s="1"/>
  <c r="P43"/>
  <c r="O24" i="20"/>
  <c r="O23"/>
  <c r="P11"/>
  <c r="O25" i="22"/>
  <c r="O24"/>
  <c r="P12"/>
  <c r="P15" i="20"/>
  <c r="Q15" s="1"/>
  <c r="P13"/>
  <c r="Q13" s="1"/>
  <c r="P14" i="21"/>
  <c r="Q14" s="1"/>
  <c r="P12"/>
  <c r="Q12" s="1"/>
  <c r="P16" i="22"/>
  <c r="Q16" s="1"/>
  <c r="P15"/>
  <c r="Q15" s="1"/>
  <c r="I36"/>
  <c r="I34"/>
  <c r="H32"/>
  <c r="H44" s="1"/>
  <c r="O24" i="21"/>
  <c r="P11"/>
  <c r="O23"/>
  <c r="P14" i="20"/>
  <c r="Q14" s="1"/>
  <c r="P12"/>
  <c r="Q12" s="1"/>
  <c r="P15" i="21"/>
  <c r="Q15" s="1"/>
  <c r="P13"/>
  <c r="Q13" s="1"/>
  <c r="P14" i="22"/>
  <c r="Q14" s="1"/>
  <c r="P13"/>
  <c r="Q13" s="1"/>
  <c r="L36"/>
  <c r="L44" s="1"/>
  <c r="O43" i="21"/>
  <c r="C44" i="22"/>
  <c r="D33"/>
  <c r="E33"/>
  <c r="C45"/>
  <c r="B44"/>
  <c r="D32"/>
  <c r="E32"/>
  <c r="D35"/>
  <c r="E35"/>
  <c r="T31" i="20"/>
  <c r="T43" s="1"/>
  <c r="B30" s="1"/>
  <c r="N43"/>
  <c r="U31" i="21"/>
  <c r="P31"/>
  <c r="Q31"/>
  <c r="O44"/>
  <c r="Q43" i="22"/>
  <c r="U43"/>
  <c r="P43"/>
  <c r="P42"/>
  <c r="Q42"/>
  <c r="U42"/>
  <c r="Q41"/>
  <c r="U41"/>
  <c r="P41"/>
  <c r="P40"/>
  <c r="Q40"/>
  <c r="U40"/>
  <c r="Q39"/>
  <c r="U39"/>
  <c r="P39"/>
  <c r="P38"/>
  <c r="Q38"/>
  <c r="U38"/>
  <c r="Q37"/>
  <c r="U37"/>
  <c r="P37"/>
  <c r="P36"/>
  <c r="Q36"/>
  <c r="U36"/>
  <c r="Q35"/>
  <c r="U35"/>
  <c r="P35"/>
  <c r="P34"/>
  <c r="Q34"/>
  <c r="U34"/>
  <c r="P33"/>
  <c r="Q33"/>
  <c r="U33"/>
  <c r="Q32"/>
  <c r="U32"/>
  <c r="P32"/>
  <c r="O45"/>
  <c r="O44"/>
  <c r="U42" i="20"/>
  <c r="P42"/>
  <c r="Q42"/>
  <c r="U41"/>
  <c r="P41"/>
  <c r="Q41"/>
  <c r="U40"/>
  <c r="P40"/>
  <c r="Q40"/>
  <c r="U39"/>
  <c r="P39"/>
  <c r="Q39"/>
  <c r="U38"/>
  <c r="P38"/>
  <c r="Q38"/>
  <c r="U37"/>
  <c r="P37"/>
  <c r="Q37"/>
  <c r="U36"/>
  <c r="P36"/>
  <c r="Q36"/>
  <c r="U35"/>
  <c r="P35"/>
  <c r="Q35"/>
  <c r="U34"/>
  <c r="P34"/>
  <c r="Q34"/>
  <c r="U33"/>
  <c r="P33"/>
  <c r="Q33"/>
  <c r="U32"/>
  <c r="P32"/>
  <c r="Q32"/>
  <c r="U31"/>
  <c r="P31"/>
  <c r="O44"/>
  <c r="O43"/>
  <c r="Q31"/>
  <c r="P42" i="21"/>
  <c r="U42"/>
  <c r="Q42"/>
  <c r="U41"/>
  <c r="P41"/>
  <c r="Q41"/>
  <c r="P40"/>
  <c r="U40"/>
  <c r="Q40"/>
  <c r="U39"/>
  <c r="P39"/>
  <c r="Q39"/>
  <c r="P38"/>
  <c r="U38"/>
  <c r="Q38"/>
  <c r="U37"/>
  <c r="P37"/>
  <c r="Q37"/>
  <c r="P36"/>
  <c r="U36"/>
  <c r="Q36"/>
  <c r="U35"/>
  <c r="P35"/>
  <c r="Q35"/>
  <c r="P34"/>
  <c r="U34"/>
  <c r="Q34"/>
  <c r="U33"/>
  <c r="P33"/>
  <c r="Q33"/>
  <c r="P32"/>
  <c r="U32"/>
  <c r="Q32"/>
  <c r="T31"/>
  <c r="T43" s="1"/>
  <c r="B30" s="1"/>
  <c r="N43"/>
  <c r="Q43" s="1"/>
  <c r="T32" i="22"/>
  <c r="T44" s="1"/>
  <c r="B31" s="1"/>
  <c r="N44"/>
  <c r="Q43" i="26" l="1"/>
  <c r="Q11" i="21"/>
  <c r="P23"/>
  <c r="P23" i="20"/>
  <c r="Q11"/>
  <c r="N25"/>
  <c r="N24"/>
  <c r="N25" i="21"/>
  <c r="N24"/>
  <c r="P24" i="22"/>
  <c r="Q12"/>
  <c r="N26"/>
  <c r="N25"/>
  <c r="P44"/>
  <c r="U43" i="20"/>
  <c r="C30" s="1"/>
  <c r="Q43"/>
  <c r="P43"/>
  <c r="U44" i="22"/>
  <c r="C31" s="1"/>
  <c r="U43" i="21"/>
  <c r="C30" s="1"/>
  <c r="D44" i="22"/>
  <c r="Q44"/>
  <c r="P43" i="21"/>
  <c r="E44" i="22"/>
  <c r="N23" i="21" l="1"/>
  <c r="Q23" s="1"/>
  <c r="N24" i="22"/>
  <c r="Q24" s="1"/>
  <c r="N23" i="20"/>
  <c r="Q23" s="1"/>
</calcChain>
</file>

<file path=xl/sharedStrings.xml><?xml version="1.0" encoding="utf-8"?>
<sst xmlns="http://schemas.openxmlformats.org/spreadsheetml/2006/main" count="758" uniqueCount="65">
  <si>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</si>
  <si>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</si>
  <si>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</si>
  <si>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</si>
  <si>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</si>
  <si>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</si>
  <si>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</si>
  <si>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</si>
  <si>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</si>
  <si>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</si>
  <si>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</si>
  <si>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</si>
  <si>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</si>
  <si>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</si>
  <si>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</si>
  <si>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</si>
  <si>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</si>
  <si>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</si>
  <si>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</si>
  <si>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</si>
  <si>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</si>
  <si>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</si>
  <si>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</si>
  <si>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</si>
  <si>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</si>
  <si>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</si>
  <si>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</si>
  <si>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</si>
  <si>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</si>
  <si>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</si>
  <si>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</si>
  <si>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</si>
  <si>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</si>
  <si>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</si>
  <si>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</si>
  <si>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BWA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</si>
  <si>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</si>
  <si>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</si>
  <si>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</si>
  <si>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</si>
  <si>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</si>
  <si>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</si>
  <si>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</si>
  <si>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</si>
  <si>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</si>
  <si>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</si>
  <si>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</si>
  <si>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Rheinfelden Autobahn</t>
  </si>
  <si>
    <t>RFA</t>
  </si>
  <si>
    <t>Boncourt</t>
  </si>
  <si>
    <t>BON</t>
  </si>
  <si>
    <t>BON | BSL | BWA | RFA</t>
  </si>
  <si>
    <t>BaSLA</t>
  </si>
  <si>
    <t>Tr NS</t>
  </si>
  <si>
    <t>Tr SN</t>
  </si>
  <si>
    <t>Vz SN</t>
  </si>
  <si>
    <t>Vz NS</t>
  </si>
  <si>
    <t>Verzoller N-S | Anzahl Fahrzeuge pro Tag</t>
  </si>
  <si>
    <t>Verzoller S-N | Anzahl Fahrzeuge pro Tag</t>
  </si>
  <si>
    <t>Transit N-S | Anzahl Fahrzeuge pro Tag</t>
  </si>
  <si>
    <t>Transit S-N | Anzahl Fahrzeuge pro Tag</t>
  </si>
  <si>
    <t>Leer NS</t>
  </si>
  <si>
    <t>Leer SN</t>
  </si>
  <si>
    <t>Leer N-S | Anzahl Fahrzeuge pro Tag</t>
  </si>
  <si>
    <t>Leer S-N | Anzahl Fahrzeuge pro Tag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</si>
</sst>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i/>
      <sz val="8"/>
      <color indexed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9" fontId="3" fillId="0" borderId="0" xfId="2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38" fontId="3" fillId="0" borderId="13" xfId="0" applyNumberFormat="1" applyFont="1" applyFill="1" applyBorder="1" applyProtection="1">
      <protection hidden="1"/>
    </xf>
    <xf numFmtId="164" fontId="3" fillId="0" borderId="13" xfId="2" applyNumberFormat="1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0" borderId="13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3" fillId="0" borderId="13" xfId="2" applyNumberFormat="1" applyFont="1" applyFill="1" applyBorder="1" applyProtection="1">
      <protection hidden="1"/>
    </xf>
    <xf numFmtId="0" fontId="7" fillId="0" borderId="0" xfId="0" applyFont="1" applyBorder="1" applyProtection="1">
      <protection hidden="1"/>
    </xf>
    <xf numFmtId="9" fontId="7" fillId="0" borderId="0" xfId="2" applyFont="1" applyBorder="1" applyProtection="1">
      <protection hidden="1"/>
    </xf>
    <xf numFmtId="3" fontId="7" fillId="0" borderId="13" xfId="0" applyNumberFormat="1" applyFont="1" applyFill="1" applyBorder="1" applyProtection="1">
      <protection hidden="1"/>
    </xf>
    <xf numFmtId="38" fontId="7" fillId="0" borderId="13" xfId="0" applyNumberFormat="1" applyFont="1" applyFill="1" applyBorder="1" applyProtection="1">
      <protection hidden="1"/>
    </xf>
    <xf numFmtId="164" fontId="7" fillId="0" borderId="13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7" fillId="0" borderId="13" xfId="0" applyFont="1" applyFill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38" fontId="15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3" fontId="0" fillId="0" borderId="0" xfId="0" applyNumberFormat="1"/>
    <xf numFmtId="3" fontId="1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10" borderId="0" xfId="0" applyFont="1" applyFill="1" applyAlignment="1">
      <alignment horizontal="right"/>
    </xf>
    <xf numFmtId="0" fontId="16" fillId="10" borderId="0" xfId="0" applyFont="1" applyFill="1" applyAlignment="1">
      <alignment horizontal="right"/>
    </xf>
    <xf numFmtId="0" fontId="0" fillId="10" borderId="0" xfId="0" applyFill="1"/>
    <xf numFmtId="0" fontId="3" fillId="10" borderId="0" xfId="0" applyFont="1" applyFill="1"/>
    <xf numFmtId="0" fontId="0" fillId="11" borderId="0" xfId="0" applyFill="1"/>
    <xf numFmtId="0" fontId="3" fillId="11" borderId="0" xfId="0" applyFont="1" applyFill="1" applyAlignment="1">
      <alignment horizontal="right"/>
    </xf>
    <xf numFmtId="0" fontId="16" fillId="11" borderId="0" xfId="0" applyFont="1" applyFill="1" applyAlignment="1">
      <alignment horizontal="right"/>
    </xf>
    <xf numFmtId="0" fontId="3" fillId="11" borderId="0" xfId="0" applyFont="1" applyFill="1"/>
    <xf numFmtId="0" fontId="3" fillId="10" borderId="0" xfId="0" applyFont="1" applyFill="1" applyAlignment="1"/>
    <xf numFmtId="0" fontId="3" fillId="11" borderId="0" xfId="0" applyFont="1" applyFill="1" applyAlignment="1"/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Dezimal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Säulendiagramm!$B$47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Säulendiagramm!$A$48:$A$59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Säulendiagramm!$B$48:$B$59</c:f>
              <c:numCache>
                <c:formatCode>#,##0</c:formatCode>
                <c:ptCount val="12"/>
                <c:pt idx="0">
                  <c:v>58.68181818181818</c:v>
                </c:pt>
                <c:pt idx="1">
                  <c:v>78.650000000000006</c:v>
                </c:pt>
                <c:pt idx="2">
                  <c:v>114</c:v>
                </c:pt>
                <c:pt idx="3">
                  <c:v>120.28571428571429</c:v>
                </c:pt>
                <c:pt idx="4">
                  <c:v>104.85</c:v>
                </c:pt>
                <c:pt idx="5">
                  <c:v>131.75</c:v>
                </c:pt>
                <c:pt idx="6">
                  <c:v>119.21739130434783</c:v>
                </c:pt>
                <c:pt idx="7">
                  <c:v>108.42857142857143</c:v>
                </c:pt>
                <c:pt idx="8">
                  <c:v>109.85714285714286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Säulendiagramm!$C$47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Säulendiagramm!$A$48:$A$59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Säulendiagramm!$C$48:$C$59</c:f>
              <c:numCache>
                <c:formatCode>#,##0</c:formatCode>
                <c:ptCount val="12"/>
                <c:pt idx="0">
                  <c:v>549.31818181818187</c:v>
                </c:pt>
                <c:pt idx="1">
                  <c:v>581.35</c:v>
                </c:pt>
                <c:pt idx="2">
                  <c:v>618.54999999999995</c:v>
                </c:pt>
                <c:pt idx="3">
                  <c:v>631.33333333333337</c:v>
                </c:pt>
                <c:pt idx="4">
                  <c:v>576.85</c:v>
                </c:pt>
                <c:pt idx="5">
                  <c:v>601.6</c:v>
                </c:pt>
                <c:pt idx="6">
                  <c:v>557.21739130434787</c:v>
                </c:pt>
                <c:pt idx="7">
                  <c:v>481.09523809523807</c:v>
                </c:pt>
                <c:pt idx="8">
                  <c:v>578.61904761904759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Säulendiagramm!$D$47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Säulendiagramm!$A$48:$A$59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Säulendiagramm!$D$48:$D$59</c:f>
              <c:numCache>
                <c:formatCode>#,##0</c:formatCode>
                <c:ptCount val="12"/>
                <c:pt idx="0">
                  <c:v>681.86363636363637</c:v>
                </c:pt>
                <c:pt idx="1">
                  <c:v>799.4</c:v>
                </c:pt>
                <c:pt idx="2">
                  <c:v>865.05</c:v>
                </c:pt>
                <c:pt idx="3">
                  <c:v>910.80952380952385</c:v>
                </c:pt>
                <c:pt idx="4">
                  <c:v>872.85</c:v>
                </c:pt>
                <c:pt idx="5">
                  <c:v>855.95</c:v>
                </c:pt>
                <c:pt idx="6">
                  <c:v>827.78260869565213</c:v>
                </c:pt>
                <c:pt idx="7">
                  <c:v>804.76190476190482</c:v>
                </c:pt>
                <c:pt idx="8">
                  <c:v>852.09523809523807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Säulendiagramm!$E$47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Säulendiagramm!$A$48:$A$59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Säulendiagramm!$E$48:$E$59</c:f>
              <c:numCache>
                <c:formatCode>#,##0</c:formatCode>
                <c:ptCount val="12"/>
                <c:pt idx="0">
                  <c:v>458.18181818181819</c:v>
                </c:pt>
                <c:pt idx="1">
                  <c:v>488.95</c:v>
                </c:pt>
                <c:pt idx="2">
                  <c:v>520.15</c:v>
                </c:pt>
                <c:pt idx="3">
                  <c:v>564.38095238095241</c:v>
                </c:pt>
                <c:pt idx="4">
                  <c:v>499.3</c:v>
                </c:pt>
                <c:pt idx="5">
                  <c:v>530.5</c:v>
                </c:pt>
                <c:pt idx="6">
                  <c:v>487.47826086956519</c:v>
                </c:pt>
                <c:pt idx="7">
                  <c:v>466.85714285714283</c:v>
                </c:pt>
                <c:pt idx="8">
                  <c:v>518.04761904761904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525376"/>
        <c:axId val="79526912"/>
      </c:barChart>
      <c:catAx>
        <c:axId val="79525376"/>
        <c:scaling>
          <c:orientation val="minMax"/>
        </c:scaling>
        <c:axPos val="b"/>
        <c:tickLblPos val="nextTo"/>
        <c:crossAx val="79526912"/>
        <c:crosses val="autoZero"/>
        <c:auto val="1"/>
        <c:lblAlgn val="ctr"/>
        <c:lblOffset val="100"/>
      </c:catAx>
      <c:valAx>
        <c:axId val="79526912"/>
        <c:scaling>
          <c:orientation val="minMax"/>
        </c:scaling>
        <c:axPos val="l"/>
        <c:majorGridlines/>
        <c:numFmt formatCode="#,##0" sourceLinked="1"/>
        <c:tickLblPos val="nextTo"/>
        <c:crossAx val="795253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Säulendiagramm!$H$47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Säulendiagramm!$G$48:$G$59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Säulendiagramm!$H$48:$H$59</c:f>
              <c:numCache>
                <c:formatCode>0</c:formatCode>
                <c:ptCount val="12"/>
                <c:pt idx="0">
                  <c:v>24.272727272727273</c:v>
                </c:pt>
                <c:pt idx="1">
                  <c:v>24.75</c:v>
                </c:pt>
                <c:pt idx="2">
                  <c:v>29.8</c:v>
                </c:pt>
                <c:pt idx="3">
                  <c:v>31.714285714285715</c:v>
                </c:pt>
                <c:pt idx="4">
                  <c:v>33</c:v>
                </c:pt>
                <c:pt idx="5">
                  <c:v>31.1</c:v>
                </c:pt>
                <c:pt idx="6">
                  <c:v>26.956521739130434</c:v>
                </c:pt>
                <c:pt idx="7">
                  <c:v>19.38095238095238</c:v>
                </c:pt>
                <c:pt idx="8">
                  <c:v>29.142857142857142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Säulendiagramm!$I$47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Säulendiagramm!$G$48:$G$59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Säulendiagramm!$I$48:$I$59</c:f>
              <c:numCache>
                <c:formatCode>0</c:formatCode>
                <c:ptCount val="12"/>
                <c:pt idx="0">
                  <c:v>147.72727272727272</c:v>
                </c:pt>
                <c:pt idx="1">
                  <c:v>168.7</c:v>
                </c:pt>
                <c:pt idx="2">
                  <c:v>177</c:v>
                </c:pt>
                <c:pt idx="3">
                  <c:v>180.33333333333334</c:v>
                </c:pt>
                <c:pt idx="4">
                  <c:v>172.25</c:v>
                </c:pt>
                <c:pt idx="5">
                  <c:v>190.8</c:v>
                </c:pt>
                <c:pt idx="6">
                  <c:v>175.2608695652174</c:v>
                </c:pt>
                <c:pt idx="7">
                  <c:v>130.47619047619048</c:v>
                </c:pt>
                <c:pt idx="8">
                  <c:v>168.0952380952381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Säulendiagramm!$J$47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Säulendiagramm!$G$48:$G$59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Säulendiagramm!$J$48:$J$59</c:f>
              <c:numCache>
                <c:formatCode>0</c:formatCode>
                <c:ptCount val="12"/>
                <c:pt idx="0">
                  <c:v>724.40909090909088</c:v>
                </c:pt>
                <c:pt idx="1">
                  <c:v>752.25</c:v>
                </c:pt>
                <c:pt idx="2">
                  <c:v>858.1</c:v>
                </c:pt>
                <c:pt idx="3">
                  <c:v>846.80952380952385</c:v>
                </c:pt>
                <c:pt idx="4">
                  <c:v>797.85</c:v>
                </c:pt>
                <c:pt idx="5">
                  <c:v>814.65</c:v>
                </c:pt>
                <c:pt idx="6">
                  <c:v>758.17391304347825</c:v>
                </c:pt>
                <c:pt idx="7">
                  <c:v>699.95238095238096</c:v>
                </c:pt>
                <c:pt idx="8">
                  <c:v>841.38095238095241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Säulendiagramm!$K$47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Säulendiagramm!$G$48:$G$59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Säulendiagramm!$K$48:$K$59</c:f>
              <c:numCache>
                <c:formatCode>0</c:formatCode>
                <c:ptCount val="12"/>
                <c:pt idx="0">
                  <c:v>354.40909090909093</c:v>
                </c:pt>
                <c:pt idx="1">
                  <c:v>379.35</c:v>
                </c:pt>
                <c:pt idx="2">
                  <c:v>393.35</c:v>
                </c:pt>
                <c:pt idx="3">
                  <c:v>408.38095238095241</c:v>
                </c:pt>
                <c:pt idx="4">
                  <c:v>385.2</c:v>
                </c:pt>
                <c:pt idx="5">
                  <c:v>417.65</c:v>
                </c:pt>
                <c:pt idx="6">
                  <c:v>383.04347826086956</c:v>
                </c:pt>
                <c:pt idx="7">
                  <c:v>352.66666666666669</c:v>
                </c:pt>
                <c:pt idx="8">
                  <c:v>399.52380952380952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643392"/>
        <c:axId val="79644928"/>
      </c:barChart>
      <c:catAx>
        <c:axId val="79643392"/>
        <c:scaling>
          <c:orientation val="minMax"/>
        </c:scaling>
        <c:axPos val="b"/>
        <c:tickLblPos val="nextTo"/>
        <c:crossAx val="79644928"/>
        <c:crosses val="autoZero"/>
        <c:auto val="1"/>
        <c:lblAlgn val="ctr"/>
        <c:lblOffset val="100"/>
      </c:catAx>
      <c:valAx>
        <c:axId val="79644928"/>
        <c:scaling>
          <c:orientation val="minMax"/>
        </c:scaling>
        <c:axPos val="l"/>
        <c:majorGridlines/>
        <c:numFmt formatCode="0" sourceLinked="1"/>
        <c:tickLblPos val="nextTo"/>
        <c:crossAx val="796433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Säulendiagramm!$P$47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Säulendiagramm!$O$48:$O$59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Säulendiagramm!$P$48:$P$59</c:f>
              <c:numCache>
                <c:formatCode>0</c:formatCode>
                <c:ptCount val="12"/>
                <c:pt idx="0">
                  <c:v>26.181818181818183</c:v>
                </c:pt>
                <c:pt idx="1">
                  <c:v>30.8</c:v>
                </c:pt>
                <c:pt idx="2">
                  <c:v>29.65</c:v>
                </c:pt>
                <c:pt idx="3">
                  <c:v>40</c:v>
                </c:pt>
                <c:pt idx="4">
                  <c:v>40.950000000000003</c:v>
                </c:pt>
                <c:pt idx="5">
                  <c:v>41.15</c:v>
                </c:pt>
                <c:pt idx="6">
                  <c:v>31.913043478260871</c:v>
                </c:pt>
                <c:pt idx="7">
                  <c:v>21.238095238095237</c:v>
                </c:pt>
                <c:pt idx="8">
                  <c:v>33.714285714285715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Säulendiagramm!$Q$47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Säulendiagramm!$O$48:$O$59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Säulendiagramm!$Q$48:$Q$59</c:f>
              <c:numCache>
                <c:formatCode>#,##0</c:formatCode>
                <c:ptCount val="12"/>
                <c:pt idx="0">
                  <c:v>784.27272727272725</c:v>
                </c:pt>
                <c:pt idx="1">
                  <c:v>790.7</c:v>
                </c:pt>
                <c:pt idx="2">
                  <c:v>829.45</c:v>
                </c:pt>
                <c:pt idx="3">
                  <c:v>775.19047619047615</c:v>
                </c:pt>
                <c:pt idx="4">
                  <c:v>787.05</c:v>
                </c:pt>
                <c:pt idx="5">
                  <c:v>771.55</c:v>
                </c:pt>
                <c:pt idx="6">
                  <c:v>666.695652173913</c:v>
                </c:pt>
                <c:pt idx="7">
                  <c:v>494.09523809523807</c:v>
                </c:pt>
                <c:pt idx="8">
                  <c:v>703.09523809523807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Säulendiagramm!$R$47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Säulendiagramm!$O$48:$O$59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Säulendiagramm!$R$48:$R$59</c:f>
              <c:numCache>
                <c:formatCode>#,##0</c:formatCode>
                <c:ptCount val="12"/>
                <c:pt idx="0">
                  <c:v>562.5454545454545</c:v>
                </c:pt>
                <c:pt idx="1">
                  <c:v>655.15</c:v>
                </c:pt>
                <c:pt idx="2">
                  <c:v>714.9</c:v>
                </c:pt>
                <c:pt idx="3">
                  <c:v>705</c:v>
                </c:pt>
                <c:pt idx="4">
                  <c:v>746.35</c:v>
                </c:pt>
                <c:pt idx="5">
                  <c:v>750.2</c:v>
                </c:pt>
                <c:pt idx="6">
                  <c:v>702.304347826087</c:v>
                </c:pt>
                <c:pt idx="7">
                  <c:v>635.76190476190482</c:v>
                </c:pt>
                <c:pt idx="8">
                  <c:v>789.95238095238096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Säulendiagramm!$S$47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Säulendiagramm!$O$48:$O$59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Säulendiagramm!$S$48:$S$59</c:f>
              <c:numCache>
                <c:formatCode>General</c:formatCode>
                <c:ptCount val="12"/>
                <c:pt idx="0">
                  <c:v>297.09090909090907</c:v>
                </c:pt>
                <c:pt idx="1">
                  <c:v>290.7</c:v>
                </c:pt>
                <c:pt idx="2">
                  <c:v>316.39999999999998</c:v>
                </c:pt>
                <c:pt idx="3">
                  <c:v>286.76190476190476</c:v>
                </c:pt>
                <c:pt idx="4">
                  <c:v>270.10000000000002</c:v>
                </c:pt>
                <c:pt idx="5">
                  <c:v>266.7</c:v>
                </c:pt>
                <c:pt idx="6">
                  <c:v>254.13043478260869</c:v>
                </c:pt>
                <c:pt idx="7">
                  <c:v>207.61904761904762</c:v>
                </c:pt>
                <c:pt idx="8">
                  <c:v>284.42857142857144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79679488"/>
        <c:axId val="79681024"/>
      </c:barChart>
      <c:catAx>
        <c:axId val="79679488"/>
        <c:scaling>
          <c:orientation val="minMax"/>
        </c:scaling>
        <c:axPos val="b"/>
        <c:tickLblPos val="nextTo"/>
        <c:crossAx val="79681024"/>
        <c:crosses val="autoZero"/>
        <c:auto val="1"/>
        <c:lblAlgn val="ctr"/>
        <c:lblOffset val="100"/>
      </c:catAx>
      <c:valAx>
        <c:axId val="79681024"/>
        <c:scaling>
          <c:orientation val="minMax"/>
          <c:max val="1000"/>
        </c:scaling>
        <c:axPos val="l"/>
        <c:majorGridlines/>
        <c:numFmt formatCode="0" sourceLinked="1"/>
        <c:tickLblPos val="nextTo"/>
        <c:crossAx val="7967948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Säulendiagramm!$V$47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Säulendiagramm!$U$48:$U$59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Säulendiagramm!$V$48:$V$59</c:f>
              <c:numCache>
                <c:formatCode>#,##0</c:formatCode>
                <c:ptCount val="12"/>
                <c:pt idx="0">
                  <c:v>6.9545454545454541</c:v>
                </c:pt>
                <c:pt idx="1">
                  <c:v>7.9</c:v>
                </c:pt>
                <c:pt idx="2">
                  <c:v>8.9499999999999993</c:v>
                </c:pt>
                <c:pt idx="3">
                  <c:v>8</c:v>
                </c:pt>
                <c:pt idx="4">
                  <c:v>6.75</c:v>
                </c:pt>
                <c:pt idx="5">
                  <c:v>8.4499999999999993</c:v>
                </c:pt>
                <c:pt idx="6">
                  <c:v>8</c:v>
                </c:pt>
                <c:pt idx="7">
                  <c:v>6.7142857142857144</c:v>
                </c:pt>
                <c:pt idx="8">
                  <c:v>7.6190476190476186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Säulendiagramm!$W$47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Säulendiagramm!$U$48:$U$59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Säulendiagramm!$W$48:$W$59</c:f>
              <c:numCache>
                <c:formatCode>#,##0</c:formatCode>
                <c:ptCount val="12"/>
                <c:pt idx="0">
                  <c:v>761.40909090909088</c:v>
                </c:pt>
                <c:pt idx="1">
                  <c:v>790.15</c:v>
                </c:pt>
                <c:pt idx="2">
                  <c:v>852.1</c:v>
                </c:pt>
                <c:pt idx="3">
                  <c:v>831.04761904761904</c:v>
                </c:pt>
                <c:pt idx="4">
                  <c:v>872.85</c:v>
                </c:pt>
                <c:pt idx="5">
                  <c:v>862.95</c:v>
                </c:pt>
                <c:pt idx="6">
                  <c:v>741.95652173913038</c:v>
                </c:pt>
                <c:pt idx="7">
                  <c:v>571.09523809523807</c:v>
                </c:pt>
                <c:pt idx="8">
                  <c:v>731.42857142857144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Säulendiagramm!$X$47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Säulendiagramm!$U$48:$U$59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Säulendiagramm!$X$48:$X$59</c:f>
              <c:numCache>
                <c:formatCode>#,##0</c:formatCode>
                <c:ptCount val="12"/>
                <c:pt idx="0">
                  <c:v>469</c:v>
                </c:pt>
                <c:pt idx="1">
                  <c:v>496.9</c:v>
                </c:pt>
                <c:pt idx="2">
                  <c:v>550.45000000000005</c:v>
                </c:pt>
                <c:pt idx="3">
                  <c:v>489.61904761904759</c:v>
                </c:pt>
                <c:pt idx="4">
                  <c:v>507.5</c:v>
                </c:pt>
                <c:pt idx="5">
                  <c:v>512.1</c:v>
                </c:pt>
                <c:pt idx="6">
                  <c:v>485.13043478260869</c:v>
                </c:pt>
                <c:pt idx="7">
                  <c:v>415.66666666666669</c:v>
                </c:pt>
                <c:pt idx="8">
                  <c:v>503.23809523809524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Säulendiagramm!$Y$47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Säulendiagramm!$U$48:$U$59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Säulendiagramm!$Y$48:$Y$59</c:f>
              <c:numCache>
                <c:formatCode>#,##0</c:formatCode>
                <c:ptCount val="12"/>
                <c:pt idx="0">
                  <c:v>276.27272727272725</c:v>
                </c:pt>
                <c:pt idx="1">
                  <c:v>292.3</c:v>
                </c:pt>
                <c:pt idx="2">
                  <c:v>319.60000000000002</c:v>
                </c:pt>
                <c:pt idx="3">
                  <c:v>301</c:v>
                </c:pt>
                <c:pt idx="4">
                  <c:v>296.95</c:v>
                </c:pt>
                <c:pt idx="5">
                  <c:v>283.85000000000002</c:v>
                </c:pt>
                <c:pt idx="6">
                  <c:v>287.52173913043481</c:v>
                </c:pt>
                <c:pt idx="7">
                  <c:v>233.0952380952381</c:v>
                </c:pt>
                <c:pt idx="8">
                  <c:v>277.57142857142856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6649856"/>
        <c:axId val="86655744"/>
      </c:barChart>
      <c:catAx>
        <c:axId val="86649856"/>
        <c:scaling>
          <c:orientation val="minMax"/>
        </c:scaling>
        <c:axPos val="b"/>
        <c:tickLblPos val="nextTo"/>
        <c:crossAx val="86655744"/>
        <c:crosses val="autoZero"/>
        <c:auto val="1"/>
        <c:lblAlgn val="ctr"/>
        <c:lblOffset val="100"/>
      </c:catAx>
      <c:valAx>
        <c:axId val="86655744"/>
        <c:scaling>
          <c:orientation val="minMax"/>
        </c:scaling>
        <c:axPos val="l"/>
        <c:majorGridlines/>
        <c:numFmt formatCode="#,##0" sourceLinked="1"/>
        <c:tickLblPos val="nextTo"/>
        <c:crossAx val="866498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Säulendiagramm!$AB$47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Säulendiagramm!$AA$48:$AA$59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Säulendiagramm!$AB$48:$AB$59</c:f>
              <c:numCache>
                <c:formatCode>#,##0</c:formatCode>
                <c:ptCount val="12"/>
                <c:pt idx="0">
                  <c:v>7.0909090909090908</c:v>
                </c:pt>
                <c:pt idx="1">
                  <c:v>8.3000000000000007</c:v>
                </c:pt>
                <c:pt idx="2">
                  <c:v>7.55</c:v>
                </c:pt>
                <c:pt idx="3">
                  <c:v>8.8571428571428577</c:v>
                </c:pt>
                <c:pt idx="4">
                  <c:v>9.1999999999999993</c:v>
                </c:pt>
                <c:pt idx="5">
                  <c:v>11.45</c:v>
                </c:pt>
                <c:pt idx="6">
                  <c:v>10.173913043478262</c:v>
                </c:pt>
                <c:pt idx="7">
                  <c:v>7.2380952380952381</c:v>
                </c:pt>
                <c:pt idx="8">
                  <c:v>9.4761904761904763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Säulendiagramm!$AC$47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Säulendiagramm!$AA$48:$AA$59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Säulendiagramm!$AC$48:$AC$59</c:f>
              <c:numCache>
                <c:formatCode>#,##0</c:formatCode>
                <c:ptCount val="12"/>
                <c:pt idx="0">
                  <c:v>102.22727272727273</c:v>
                </c:pt>
                <c:pt idx="1">
                  <c:v>102.7</c:v>
                </c:pt>
                <c:pt idx="2">
                  <c:v>102.65</c:v>
                </c:pt>
                <c:pt idx="3">
                  <c:v>101.95238095238095</c:v>
                </c:pt>
                <c:pt idx="4">
                  <c:v>108.05</c:v>
                </c:pt>
                <c:pt idx="5">
                  <c:v>97.25</c:v>
                </c:pt>
                <c:pt idx="6">
                  <c:v>101.04347826086956</c:v>
                </c:pt>
                <c:pt idx="7">
                  <c:v>97.19047619047619</c:v>
                </c:pt>
                <c:pt idx="8">
                  <c:v>94.333333333333329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Säulendiagramm!$AD$47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Säulendiagramm!$AA$48:$AA$59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Säulendiagramm!$AD$48:$AD$59</c:f>
              <c:numCache>
                <c:formatCode>#,##0</c:formatCode>
                <c:ptCount val="12"/>
                <c:pt idx="0">
                  <c:v>103.36363636363636</c:v>
                </c:pt>
                <c:pt idx="1">
                  <c:v>119.8</c:v>
                </c:pt>
                <c:pt idx="2">
                  <c:v>130</c:v>
                </c:pt>
                <c:pt idx="3">
                  <c:v>133.28571428571428</c:v>
                </c:pt>
                <c:pt idx="4">
                  <c:v>170.25</c:v>
                </c:pt>
                <c:pt idx="5">
                  <c:v>169.25</c:v>
                </c:pt>
                <c:pt idx="6">
                  <c:v>174.21739130434781</c:v>
                </c:pt>
                <c:pt idx="7">
                  <c:v>185.47619047619048</c:v>
                </c:pt>
                <c:pt idx="8">
                  <c:v>167.14285714285714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Säulendiagramm!$AE$47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Säulendiagramm!$AA$48:$AA$59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Säulendiagramm!$AE$48:$AE$59</c:f>
              <c:numCache>
                <c:formatCode>#,##0</c:formatCode>
                <c:ptCount val="12"/>
                <c:pt idx="0">
                  <c:v>69.090909090909093</c:v>
                </c:pt>
                <c:pt idx="1">
                  <c:v>31.9</c:v>
                </c:pt>
                <c:pt idx="2">
                  <c:v>21.65</c:v>
                </c:pt>
                <c:pt idx="3">
                  <c:v>53.428571428571431</c:v>
                </c:pt>
                <c:pt idx="4">
                  <c:v>34.6</c:v>
                </c:pt>
                <c:pt idx="5">
                  <c:v>22</c:v>
                </c:pt>
                <c:pt idx="6">
                  <c:v>31</c:v>
                </c:pt>
                <c:pt idx="7">
                  <c:v>37.428571428571431</c:v>
                </c:pt>
                <c:pt idx="8">
                  <c:v>30.571428571428573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6702336"/>
        <c:axId val="86716416"/>
      </c:barChart>
      <c:catAx>
        <c:axId val="86702336"/>
        <c:scaling>
          <c:orientation val="minMax"/>
        </c:scaling>
        <c:axPos val="b"/>
        <c:tickLblPos val="nextTo"/>
        <c:crossAx val="86716416"/>
        <c:crosses val="autoZero"/>
        <c:auto val="1"/>
        <c:lblAlgn val="ctr"/>
        <c:lblOffset val="100"/>
      </c:catAx>
      <c:valAx>
        <c:axId val="86716416"/>
        <c:scaling>
          <c:orientation val="minMax"/>
          <c:max val="1000"/>
        </c:scaling>
        <c:axPos val="l"/>
        <c:majorGridlines/>
        <c:numFmt formatCode="#,##0" sourceLinked="1"/>
        <c:tickLblPos val="nextTo"/>
        <c:crossAx val="867023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Säulendiagramm!$AH$47</c:f>
              <c:strCache>
                <c:ptCount val="1"/>
                <c:pt idx="0">
                  <c:v>BON</c:v>
                </c:pt>
              </c:strCache>
            </c:strRef>
          </c:tx>
          <c:cat>
            <c:strRef>
              <c:f>Säulendiagramm!$AG$48:$AG$59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Säulendiagramm!$AH$48:$AH$59</c:f>
              <c:numCache>
                <c:formatCode>#,##0</c:formatCode>
                <c:ptCount val="12"/>
                <c:pt idx="0">
                  <c:v>37.31818181818182</c:v>
                </c:pt>
                <c:pt idx="1">
                  <c:v>48.75</c:v>
                </c:pt>
                <c:pt idx="2">
                  <c:v>64</c:v>
                </c:pt>
                <c:pt idx="3">
                  <c:v>59.333333333333336</c:v>
                </c:pt>
                <c:pt idx="4">
                  <c:v>52.9</c:v>
                </c:pt>
                <c:pt idx="5">
                  <c:v>78.2</c:v>
                </c:pt>
                <c:pt idx="6">
                  <c:v>78.260869565217391</c:v>
                </c:pt>
                <c:pt idx="7">
                  <c:v>64.904761904761898</c:v>
                </c:pt>
                <c:pt idx="8">
                  <c:v>51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Säulendiagramm!$AI$47</c:f>
              <c:strCache>
                <c:ptCount val="1"/>
                <c:pt idx="0">
                  <c:v>BaSLA</c:v>
                </c:pt>
              </c:strCache>
            </c:strRef>
          </c:tx>
          <c:cat>
            <c:strRef>
              <c:f>Säulendiagramm!$AG$48:$AG$59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Säulendiagramm!$AI$48:$AI$59</c:f>
              <c:numCache>
                <c:formatCode>#,##0</c:formatCode>
                <c:ptCount val="12"/>
                <c:pt idx="0">
                  <c:v>310.90909090909093</c:v>
                </c:pt>
                <c:pt idx="1">
                  <c:v>343.25</c:v>
                </c:pt>
                <c:pt idx="2">
                  <c:v>352.65</c:v>
                </c:pt>
                <c:pt idx="3">
                  <c:v>365.33333333333331</c:v>
                </c:pt>
                <c:pt idx="4">
                  <c:v>351.35</c:v>
                </c:pt>
                <c:pt idx="5">
                  <c:v>375.1</c:v>
                </c:pt>
                <c:pt idx="6">
                  <c:v>328.78260869565219</c:v>
                </c:pt>
                <c:pt idx="7">
                  <c:v>260.09523809523807</c:v>
                </c:pt>
                <c:pt idx="8">
                  <c:v>338.23809523809524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Säulendiagramm!$AJ$47</c:f>
              <c:strCache>
                <c:ptCount val="1"/>
                <c:pt idx="0">
                  <c:v>BWA</c:v>
                </c:pt>
              </c:strCache>
            </c:strRef>
          </c:tx>
          <c:cat>
            <c:strRef>
              <c:f>Säulendiagramm!$AG$48:$AG$59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Säulendiagramm!$AJ$48:$AJ$59</c:f>
              <c:numCache>
                <c:formatCode>#,##0</c:formatCode>
                <c:ptCount val="12"/>
                <c:pt idx="0">
                  <c:v>492</c:v>
                </c:pt>
                <c:pt idx="1">
                  <c:v>796.25</c:v>
                </c:pt>
                <c:pt idx="2">
                  <c:v>583.25</c:v>
                </c:pt>
                <c:pt idx="3">
                  <c:v>660.28571428571433</c:v>
                </c:pt>
                <c:pt idx="4">
                  <c:v>690.95</c:v>
                </c:pt>
                <c:pt idx="5">
                  <c:v>810.75</c:v>
                </c:pt>
                <c:pt idx="6">
                  <c:v>806.21739130434787</c:v>
                </c:pt>
                <c:pt idx="7">
                  <c:v>641.28571428571433</c:v>
                </c:pt>
                <c:pt idx="8">
                  <c:v>656.95238095238096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Säulendiagramm!$AK$47</c:f>
              <c:strCache>
                <c:ptCount val="1"/>
                <c:pt idx="0">
                  <c:v>RFA</c:v>
                </c:pt>
              </c:strCache>
            </c:strRef>
          </c:tx>
          <c:cat>
            <c:strRef>
              <c:f>Säulendiagramm!$AG$48:$AG$59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Säulendiagramm!$AK$48:$AK$59</c:f>
              <c:numCache>
                <c:formatCode>#,##0</c:formatCode>
                <c:ptCount val="12"/>
                <c:pt idx="0">
                  <c:v>323</c:v>
                </c:pt>
                <c:pt idx="1">
                  <c:v>370.1</c:v>
                </c:pt>
                <c:pt idx="2">
                  <c:v>429.1</c:v>
                </c:pt>
                <c:pt idx="3">
                  <c:v>466.8095238095238</c:v>
                </c:pt>
                <c:pt idx="4">
                  <c:v>435.05</c:v>
                </c:pt>
                <c:pt idx="5">
                  <c:v>438.05</c:v>
                </c:pt>
                <c:pt idx="6">
                  <c:v>385.17391304347825</c:v>
                </c:pt>
                <c:pt idx="7">
                  <c:v>376.71428571428572</c:v>
                </c:pt>
                <c:pt idx="8">
                  <c:v>415.76190476190476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86746624"/>
        <c:axId val="86748160"/>
      </c:barChart>
      <c:catAx>
        <c:axId val="86746624"/>
        <c:scaling>
          <c:orientation val="minMax"/>
        </c:scaling>
        <c:axPos val="b"/>
        <c:tickLblPos val="nextTo"/>
        <c:crossAx val="86748160"/>
        <c:crosses val="autoZero"/>
        <c:auto val="1"/>
        <c:lblAlgn val="ctr"/>
        <c:lblOffset val="100"/>
      </c:catAx>
      <c:valAx>
        <c:axId val="86748160"/>
        <c:scaling>
          <c:orientation val="minMax"/>
          <c:max val="1000"/>
        </c:scaling>
        <c:axPos val="l"/>
        <c:majorGridlines/>
        <c:numFmt formatCode="#,##0" sourceLinked="1"/>
        <c:tickLblPos val="nextTo"/>
        <c:crossAx val="867466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1" l="0.75000000000000477" r="0.750000000000004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20325</xdr:rowOff>
    </xdr:from>
    <xdr:to>
      <xdr:col>12</xdr:col>
      <xdr:colOff>20320</xdr:colOff>
      <xdr:row>20</xdr:row>
      <xdr:rowOff>20325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12</xdr:col>
      <xdr:colOff>20320</xdr:colOff>
      <xdr:row>42</xdr:row>
      <xdr:rowOff>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</xdr:row>
      <xdr:rowOff>20320</xdr:rowOff>
    </xdr:from>
    <xdr:to>
      <xdr:col>25</xdr:col>
      <xdr:colOff>314960</xdr:colOff>
      <xdr:row>20</xdr:row>
      <xdr:rowOff>20320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24</xdr:row>
      <xdr:rowOff>20325</xdr:rowOff>
    </xdr:from>
    <xdr:to>
      <xdr:col>25</xdr:col>
      <xdr:colOff>314960</xdr:colOff>
      <xdr:row>42</xdr:row>
      <xdr:rowOff>20325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30480</xdr:colOff>
      <xdr:row>2</xdr:row>
      <xdr:rowOff>10160</xdr:rowOff>
    </xdr:from>
    <xdr:to>
      <xdr:col>37</xdr:col>
      <xdr:colOff>243840</xdr:colOff>
      <xdr:row>20</xdr:row>
      <xdr:rowOff>10160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60960</xdr:colOff>
      <xdr:row>24</xdr:row>
      <xdr:rowOff>0</xdr:rowOff>
    </xdr:from>
    <xdr:to>
      <xdr:col>37</xdr:col>
      <xdr:colOff>274320</xdr:colOff>
      <xdr:row>42</xdr:row>
      <xdr:rowOff>0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340714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tabSelected="1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39" t="s">
        <v>49</v>
      </c>
      <c r="C2" s="139"/>
      <c r="D2" s="139"/>
      <c r="E2" s="139"/>
      <c r="O2" s="5"/>
      <c r="P2" s="5"/>
      <c r="Q2" s="95"/>
    </row>
    <row r="3" spans="1:17" ht="13.5" customHeight="1">
      <c r="A3" s="1"/>
      <c r="B3" s="140" t="s">
        <v>20</v>
      </c>
      <c r="C3" s="140"/>
      <c r="D3" s="141" t="s">
        <v>19</v>
      </c>
      <c r="E3" s="141"/>
      <c r="O3" s="5"/>
      <c r="P3" s="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3"/>
      <c r="C5" s="53"/>
      <c r="D5" s="53"/>
      <c r="E5" s="5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v>2012</v>
      </c>
      <c r="C9" s="51"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1534</v>
      </c>
      <c r="C11" s="31">
        <v>1291</v>
      </c>
      <c r="D11" s="21">
        <f>IF(OR(C11="",B11=0),"",C11-B11)</f>
        <v>-243</v>
      </c>
      <c r="E11" s="71">
        <f t="shared" ref="E11:E22" si="0">IF(D11="","",D11/B11)</f>
        <v>-0.15840938722294653</v>
      </c>
      <c r="F11" s="38">
        <v>546</v>
      </c>
      <c r="G11" s="31">
        <v>576</v>
      </c>
      <c r="H11" s="21">
        <f>IF(OR(G11="",F11=0),"",G11-F11)</f>
        <v>30</v>
      </c>
      <c r="I11" s="71">
        <f t="shared" ref="I11:I22" si="1">IF(H11="","",H11/F11)</f>
        <v>5.4945054945054944E-2</v>
      </c>
      <c r="J11" s="38">
        <v>126</v>
      </c>
      <c r="K11" s="31">
        <v>156</v>
      </c>
      <c r="L11" s="21">
        <f>IF(OR(K11="",J11=0),"",K11-J11)</f>
        <v>30</v>
      </c>
      <c r="M11" s="71">
        <f t="shared" ref="M11:M22" si="2">IF(L11="","",L11/J11)</f>
        <v>0.23809523809523808</v>
      </c>
      <c r="N11" s="38">
        <f t="shared" ref="N11:N22" si="3">SUM(B11,F11,J11)</f>
        <v>2206</v>
      </c>
      <c r="O11" s="34">
        <f t="shared" ref="O11:O22" si="4">IF(C11="","",SUM(C11,G11,K11))</f>
        <v>2023</v>
      </c>
      <c r="P11" s="21">
        <f>IF(OR(O11="",N11=0),"",O11-N11)</f>
        <v>-183</v>
      </c>
      <c r="Q11" s="71">
        <f t="shared" ref="Q11:Q22" si="5">IF(P11="","",P11/N11)</f>
        <v>-8.2955575702629195E-2</v>
      </c>
    </row>
    <row r="12" spans="1:17" ht="11.25" customHeight="1">
      <c r="A12" s="20" t="s">
        <v>7</v>
      </c>
      <c r="B12" s="38">
        <v>1325</v>
      </c>
      <c r="C12" s="31">
        <v>1573</v>
      </c>
      <c r="D12" s="21">
        <f t="shared" ref="D12:D22" si="6">IF(OR(C12="",B12=0),"",C12-B12)</f>
        <v>248</v>
      </c>
      <c r="E12" s="71">
        <f t="shared" si="0"/>
        <v>0.18716981132075472</v>
      </c>
      <c r="F12" s="38">
        <v>649</v>
      </c>
      <c r="G12" s="31">
        <v>616</v>
      </c>
      <c r="H12" s="21">
        <f t="shared" ref="H12:H22" si="7">IF(OR(G12="",F12=0),"",G12-F12)</f>
        <v>-33</v>
      </c>
      <c r="I12" s="71">
        <f t="shared" si="1"/>
        <v>-5.0847457627118647E-2</v>
      </c>
      <c r="J12" s="38">
        <v>168</v>
      </c>
      <c r="K12" s="31">
        <v>166</v>
      </c>
      <c r="L12" s="21">
        <f t="shared" ref="L12:L22" si="8">IF(OR(K12="",J12=0),"",K12-J12)</f>
        <v>-2</v>
      </c>
      <c r="M12" s="71">
        <f t="shared" si="2"/>
        <v>-1.1904761904761904E-2</v>
      </c>
      <c r="N12" s="38">
        <f t="shared" si="3"/>
        <v>2142</v>
      </c>
      <c r="O12" s="34">
        <f t="shared" si="4"/>
        <v>2355</v>
      </c>
      <c r="P12" s="21">
        <f t="shared" ref="P12:P22" si="9">IF(OR(O12="",N12=0),"",O12-N12)</f>
        <v>213</v>
      </c>
      <c r="Q12" s="71">
        <f t="shared" si="5"/>
        <v>9.9439775910364139E-2</v>
      </c>
    </row>
    <row r="13" spans="1:17" ht="11.25" customHeight="1">
      <c r="A13" s="27" t="s">
        <v>8</v>
      </c>
      <c r="B13" s="40">
        <v>2201</v>
      </c>
      <c r="C13" s="32">
        <v>2280</v>
      </c>
      <c r="D13" s="22">
        <f t="shared" si="6"/>
        <v>79</v>
      </c>
      <c r="E13" s="72">
        <f t="shared" si="0"/>
        <v>3.5892776010904133E-2</v>
      </c>
      <c r="F13" s="40">
        <v>734</v>
      </c>
      <c r="G13" s="32">
        <v>593</v>
      </c>
      <c r="H13" s="22">
        <f t="shared" si="7"/>
        <v>-141</v>
      </c>
      <c r="I13" s="72">
        <f t="shared" si="1"/>
        <v>-0.19209809264305178</v>
      </c>
      <c r="J13" s="40">
        <v>211</v>
      </c>
      <c r="K13" s="32">
        <v>151</v>
      </c>
      <c r="L13" s="22">
        <f t="shared" si="8"/>
        <v>-60</v>
      </c>
      <c r="M13" s="72">
        <f t="shared" si="2"/>
        <v>-0.28436018957345971</v>
      </c>
      <c r="N13" s="40">
        <f t="shared" si="3"/>
        <v>3146</v>
      </c>
      <c r="O13" s="35">
        <f t="shared" si="4"/>
        <v>3024</v>
      </c>
      <c r="P13" s="22">
        <f t="shared" si="9"/>
        <v>-122</v>
      </c>
      <c r="Q13" s="72">
        <f t="shared" si="5"/>
        <v>-3.8779402415766051E-2</v>
      </c>
    </row>
    <row r="14" spans="1:17" ht="11.25" customHeight="1">
      <c r="A14" s="20" t="s">
        <v>9</v>
      </c>
      <c r="B14" s="38">
        <v>2368</v>
      </c>
      <c r="C14" s="31">
        <v>2526</v>
      </c>
      <c r="D14" s="21">
        <f t="shared" si="6"/>
        <v>158</v>
      </c>
      <c r="E14" s="71">
        <f t="shared" si="0"/>
        <v>6.6722972972972971E-2</v>
      </c>
      <c r="F14" s="38">
        <v>663</v>
      </c>
      <c r="G14" s="31">
        <v>840</v>
      </c>
      <c r="H14" s="21">
        <f t="shared" si="7"/>
        <v>177</v>
      </c>
      <c r="I14" s="71">
        <f t="shared" si="1"/>
        <v>0.2669683257918552</v>
      </c>
      <c r="J14" s="38">
        <v>216</v>
      </c>
      <c r="K14" s="31">
        <v>186</v>
      </c>
      <c r="L14" s="21">
        <f t="shared" si="8"/>
        <v>-30</v>
      </c>
      <c r="M14" s="71">
        <f t="shared" si="2"/>
        <v>-0.1388888888888889</v>
      </c>
      <c r="N14" s="38">
        <f t="shared" si="3"/>
        <v>3247</v>
      </c>
      <c r="O14" s="34">
        <f t="shared" si="4"/>
        <v>3552</v>
      </c>
      <c r="P14" s="21">
        <f t="shared" si="9"/>
        <v>305</v>
      </c>
      <c r="Q14" s="71">
        <f t="shared" si="5"/>
        <v>9.3932861102556206E-2</v>
      </c>
    </row>
    <row r="15" spans="1:17" ht="11.25" customHeight="1">
      <c r="A15" s="20" t="s">
        <v>10</v>
      </c>
      <c r="B15" s="38">
        <v>2501</v>
      </c>
      <c r="C15" s="31">
        <v>2097</v>
      </c>
      <c r="D15" s="21">
        <f t="shared" si="6"/>
        <v>-404</v>
      </c>
      <c r="E15" s="71">
        <f t="shared" si="0"/>
        <v>-0.16153538584566174</v>
      </c>
      <c r="F15" s="38">
        <v>599</v>
      </c>
      <c r="G15" s="31">
        <v>819</v>
      </c>
      <c r="H15" s="21">
        <f t="shared" si="7"/>
        <v>220</v>
      </c>
      <c r="I15" s="71">
        <f t="shared" si="1"/>
        <v>0.36727879799666108</v>
      </c>
      <c r="J15" s="38">
        <v>180</v>
      </c>
      <c r="K15" s="31">
        <v>184</v>
      </c>
      <c r="L15" s="21">
        <f t="shared" si="8"/>
        <v>4</v>
      </c>
      <c r="M15" s="71">
        <f t="shared" si="2"/>
        <v>2.2222222222222223E-2</v>
      </c>
      <c r="N15" s="38">
        <f t="shared" si="3"/>
        <v>3280</v>
      </c>
      <c r="O15" s="34">
        <f t="shared" si="4"/>
        <v>3100</v>
      </c>
      <c r="P15" s="21">
        <f t="shared" si="9"/>
        <v>-180</v>
      </c>
      <c r="Q15" s="71">
        <f t="shared" si="5"/>
        <v>-5.4878048780487805E-2</v>
      </c>
    </row>
    <row r="16" spans="1:17" ht="11.25" customHeight="1">
      <c r="A16" s="27" t="s">
        <v>11</v>
      </c>
      <c r="B16" s="40">
        <v>2915</v>
      </c>
      <c r="C16" s="32">
        <v>2635</v>
      </c>
      <c r="D16" s="22">
        <f t="shared" si="6"/>
        <v>-280</v>
      </c>
      <c r="E16" s="72">
        <f t="shared" si="0"/>
        <v>-9.6054888507718691E-2</v>
      </c>
      <c r="F16" s="40">
        <v>716</v>
      </c>
      <c r="G16" s="32">
        <v>823</v>
      </c>
      <c r="H16" s="22">
        <f t="shared" si="7"/>
        <v>107</v>
      </c>
      <c r="I16" s="72">
        <f t="shared" si="1"/>
        <v>0.1494413407821229</v>
      </c>
      <c r="J16" s="40">
        <v>184</v>
      </c>
      <c r="K16" s="32">
        <v>229</v>
      </c>
      <c r="L16" s="22">
        <f t="shared" si="8"/>
        <v>45</v>
      </c>
      <c r="M16" s="72">
        <f t="shared" si="2"/>
        <v>0.24456521739130435</v>
      </c>
      <c r="N16" s="40">
        <f t="shared" si="3"/>
        <v>3815</v>
      </c>
      <c r="O16" s="35">
        <f t="shared" si="4"/>
        <v>3687</v>
      </c>
      <c r="P16" s="22">
        <f t="shared" si="9"/>
        <v>-128</v>
      </c>
      <c r="Q16" s="72">
        <f t="shared" si="5"/>
        <v>-3.3551769331585844E-2</v>
      </c>
    </row>
    <row r="17" spans="1:21" ht="11.25" customHeight="1">
      <c r="A17" s="20" t="s">
        <v>12</v>
      </c>
      <c r="B17" s="38">
        <v>2583</v>
      </c>
      <c r="C17" s="31">
        <v>2742</v>
      </c>
      <c r="D17" s="21">
        <f t="shared" si="6"/>
        <v>159</v>
      </c>
      <c r="E17" s="71">
        <f t="shared" si="0"/>
        <v>6.1556329849012777E-2</v>
      </c>
      <c r="F17" s="38">
        <v>630</v>
      </c>
      <c r="G17" s="31">
        <v>734</v>
      </c>
      <c r="H17" s="21">
        <f t="shared" si="7"/>
        <v>104</v>
      </c>
      <c r="I17" s="71">
        <f t="shared" si="1"/>
        <v>0.16507936507936508</v>
      </c>
      <c r="J17" s="38">
        <v>222</v>
      </c>
      <c r="K17" s="31">
        <v>234</v>
      </c>
      <c r="L17" s="21">
        <f t="shared" si="8"/>
        <v>12</v>
      </c>
      <c r="M17" s="71">
        <f t="shared" si="2"/>
        <v>5.4054054054054057E-2</v>
      </c>
      <c r="N17" s="38">
        <f t="shared" si="3"/>
        <v>3435</v>
      </c>
      <c r="O17" s="34">
        <f t="shared" si="4"/>
        <v>3710</v>
      </c>
      <c r="P17" s="21">
        <f t="shared" si="9"/>
        <v>275</v>
      </c>
      <c r="Q17" s="71">
        <f t="shared" si="5"/>
        <v>8.0058224163027658E-2</v>
      </c>
    </row>
    <row r="18" spans="1:21" ht="11.25" customHeight="1">
      <c r="A18" s="20" t="s">
        <v>13</v>
      </c>
      <c r="B18" s="38">
        <v>2075</v>
      </c>
      <c r="C18" s="31">
        <v>2277</v>
      </c>
      <c r="D18" s="21">
        <f t="shared" si="6"/>
        <v>202</v>
      </c>
      <c r="E18" s="71">
        <f t="shared" si="0"/>
        <v>9.7349397590361444E-2</v>
      </c>
      <c r="F18" s="38">
        <v>339</v>
      </c>
      <c r="G18" s="31">
        <v>446</v>
      </c>
      <c r="H18" s="21">
        <f t="shared" si="7"/>
        <v>107</v>
      </c>
      <c r="I18" s="71">
        <f t="shared" si="1"/>
        <v>0.31563421828908556</v>
      </c>
      <c r="J18" s="38">
        <v>163</v>
      </c>
      <c r="K18" s="31">
        <v>152</v>
      </c>
      <c r="L18" s="21">
        <f t="shared" si="8"/>
        <v>-11</v>
      </c>
      <c r="M18" s="71">
        <f t="shared" si="2"/>
        <v>-6.7484662576687116E-2</v>
      </c>
      <c r="N18" s="38">
        <f t="shared" si="3"/>
        <v>2577</v>
      </c>
      <c r="O18" s="34">
        <f t="shared" si="4"/>
        <v>2875</v>
      </c>
      <c r="P18" s="21">
        <f t="shared" si="9"/>
        <v>298</v>
      </c>
      <c r="Q18" s="71">
        <f t="shared" si="5"/>
        <v>0.11563833915405511</v>
      </c>
    </row>
    <row r="19" spans="1:21" ht="11.25" customHeight="1">
      <c r="A19" s="27" t="s">
        <v>14</v>
      </c>
      <c r="B19" s="40">
        <v>2434</v>
      </c>
      <c r="C19" s="32">
        <v>2307</v>
      </c>
      <c r="D19" s="22">
        <f t="shared" si="6"/>
        <v>-127</v>
      </c>
      <c r="E19" s="72">
        <f t="shared" si="0"/>
        <v>-5.2177485620377981E-2</v>
      </c>
      <c r="F19" s="40">
        <v>640</v>
      </c>
      <c r="G19" s="32">
        <v>708</v>
      </c>
      <c r="H19" s="22">
        <f t="shared" si="7"/>
        <v>68</v>
      </c>
      <c r="I19" s="72">
        <f t="shared" si="1"/>
        <v>0.10625</v>
      </c>
      <c r="J19" s="40">
        <v>186</v>
      </c>
      <c r="K19" s="32">
        <v>199</v>
      </c>
      <c r="L19" s="22">
        <f t="shared" si="8"/>
        <v>13</v>
      </c>
      <c r="M19" s="72">
        <f t="shared" si="2"/>
        <v>6.9892473118279563E-2</v>
      </c>
      <c r="N19" s="40">
        <f t="shared" si="3"/>
        <v>3260</v>
      </c>
      <c r="O19" s="35">
        <f t="shared" si="4"/>
        <v>3214</v>
      </c>
      <c r="P19" s="22">
        <f t="shared" si="9"/>
        <v>-46</v>
      </c>
      <c r="Q19" s="72">
        <f t="shared" si="5"/>
        <v>-1.4110429447852761E-2</v>
      </c>
    </row>
    <row r="20" spans="1:21" ht="11.25" customHeight="1">
      <c r="A20" s="20" t="s">
        <v>15</v>
      </c>
      <c r="B20" s="38">
        <v>2671</v>
      </c>
      <c r="C20" s="31"/>
      <c r="D20" s="21" t="str">
        <f t="shared" si="6"/>
        <v/>
      </c>
      <c r="E20" s="71" t="str">
        <f t="shared" si="0"/>
        <v/>
      </c>
      <c r="F20" s="38">
        <v>646</v>
      </c>
      <c r="G20" s="31"/>
      <c r="H20" s="21" t="str">
        <f t="shared" si="7"/>
        <v/>
      </c>
      <c r="I20" s="71" t="str">
        <f t="shared" si="1"/>
        <v/>
      </c>
      <c r="J20" s="38">
        <v>258</v>
      </c>
      <c r="K20" s="31"/>
      <c r="L20" s="21" t="str">
        <f t="shared" si="8"/>
        <v/>
      </c>
      <c r="M20" s="71" t="str">
        <f t="shared" si="2"/>
        <v/>
      </c>
      <c r="N20" s="38">
        <f t="shared" si="3"/>
        <v>3575</v>
      </c>
      <c r="O20" s="34" t="str">
        <f t="shared" si="4"/>
        <v/>
      </c>
      <c r="P20" s="21" t="str">
        <f t="shared" si="9"/>
        <v/>
      </c>
      <c r="Q20" s="71" t="str">
        <f t="shared" si="5"/>
        <v/>
      </c>
    </row>
    <row r="21" spans="1:21" ht="11.25" customHeight="1">
      <c r="A21" s="20" t="s">
        <v>16</v>
      </c>
      <c r="B21" s="38">
        <v>2153</v>
      </c>
      <c r="C21" s="31"/>
      <c r="D21" s="21" t="str">
        <f t="shared" si="6"/>
        <v/>
      </c>
      <c r="E21" s="71" t="str">
        <f t="shared" si="0"/>
        <v/>
      </c>
      <c r="F21" s="38">
        <v>483</v>
      </c>
      <c r="G21" s="31"/>
      <c r="H21" s="21" t="str">
        <f t="shared" si="7"/>
        <v/>
      </c>
      <c r="I21" s="71" t="str">
        <f t="shared" si="1"/>
        <v/>
      </c>
      <c r="J21" s="38">
        <v>246</v>
      </c>
      <c r="K21" s="31"/>
      <c r="L21" s="21" t="str">
        <f t="shared" si="8"/>
        <v/>
      </c>
      <c r="M21" s="71" t="str">
        <f t="shared" si="2"/>
        <v/>
      </c>
      <c r="N21" s="38">
        <f t="shared" si="3"/>
        <v>2882</v>
      </c>
      <c r="O21" s="34" t="str">
        <f t="shared" si="4"/>
        <v/>
      </c>
      <c r="P21" s="21" t="str">
        <f t="shared" si="9"/>
        <v/>
      </c>
      <c r="Q21" s="71" t="str">
        <f t="shared" si="5"/>
        <v/>
      </c>
    </row>
    <row r="22" spans="1:21" ht="11.25" customHeight="1" thickBot="1">
      <c r="A22" s="23" t="s">
        <v>17</v>
      </c>
      <c r="B22" s="39">
        <v>1230</v>
      </c>
      <c r="C22" s="33"/>
      <c r="D22" s="21" t="str">
        <f t="shared" si="6"/>
        <v/>
      </c>
      <c r="E22" s="57" t="str">
        <f t="shared" si="0"/>
        <v/>
      </c>
      <c r="F22" s="39">
        <v>395</v>
      </c>
      <c r="G22" s="33"/>
      <c r="H22" s="21" t="str">
        <f t="shared" si="7"/>
        <v/>
      </c>
      <c r="I22" s="57" t="str">
        <f t="shared" si="1"/>
        <v/>
      </c>
      <c r="J22" s="39">
        <v>190</v>
      </c>
      <c r="K22" s="33"/>
      <c r="L22" s="21" t="str">
        <f t="shared" si="8"/>
        <v/>
      </c>
      <c r="M22" s="57" t="str">
        <f t="shared" si="2"/>
        <v/>
      </c>
      <c r="N22" s="39">
        <f t="shared" si="3"/>
        <v>1815</v>
      </c>
      <c r="O22" s="36" t="str">
        <f t="shared" si="4"/>
        <v/>
      </c>
      <c r="P22" s="21" t="str">
        <f t="shared" si="9"/>
        <v/>
      </c>
      <c r="Q22" s="57" t="str">
        <f t="shared" si="5"/>
        <v/>
      </c>
    </row>
    <row r="23" spans="1:21" ht="11.25" customHeight="1" thickBot="1">
      <c r="A23" s="44" t="s">
        <v>3</v>
      </c>
      <c r="B23" s="41">
        <f>IF(C17="",B24,B25)</f>
        <v>19936</v>
      </c>
      <c r="C23" s="42">
        <f>IF(C11="","",SUM(C11:C22))</f>
        <v>19728</v>
      </c>
      <c r="D23" s="43">
        <f>IF(C11="","",SUM(D11:D22))</f>
        <v>-208</v>
      </c>
      <c r="E23" s="64">
        <f>IF(OR(D23="",D23=0),"",D23/B23)</f>
        <v>-1.043338683788122E-2</v>
      </c>
      <c r="F23" s="41">
        <f>IF(G17="",F24,F25)</f>
        <v>5516</v>
      </c>
      <c r="G23" s="42">
        <f>IF(G11="","",SUM(G11:G22))</f>
        <v>6155</v>
      </c>
      <c r="H23" s="43">
        <f>IF(G11="","",SUM(H11:H22))</f>
        <v>639</v>
      </c>
      <c r="I23" s="64">
        <f>IF(OR(H23="",H23=0),"",H23/F23)</f>
        <v>0.11584481508339377</v>
      </c>
      <c r="J23" s="41">
        <f>IF(K17="",J24,J25)</f>
        <v>1656</v>
      </c>
      <c r="K23" s="42">
        <f>IF(K11="","",SUM(K11:K22))</f>
        <v>1657</v>
      </c>
      <c r="L23" s="43">
        <f>IF(K11="","",SUM(L11:L22))</f>
        <v>1</v>
      </c>
      <c r="M23" s="64">
        <f>IF(OR(L23="",L23=0),"",L23/J23)</f>
        <v>6.0386473429951688E-4</v>
      </c>
      <c r="N23" s="41">
        <f>IF(O17="",N24,N25)</f>
        <v>27108</v>
      </c>
      <c r="O23" s="42">
        <f>IF(O11="","",SUM(O11:O22))</f>
        <v>27540</v>
      </c>
      <c r="P23" s="43">
        <f>IF(O11="","",SUM(P11:P22))</f>
        <v>432</v>
      </c>
      <c r="Q23" s="64">
        <f>IF(OR(P23="",P23=0),"",P23/N23)</f>
        <v>1.5936254980079681E-2</v>
      </c>
    </row>
    <row r="24" spans="1:21" ht="11.25" customHeight="1">
      <c r="A24" s="88" t="s">
        <v>28</v>
      </c>
      <c r="B24" s="93">
        <f>IF(C16&lt;&gt;"",SUM(B11:B16),IF(C15&lt;&gt;"",SUM(B11:B15),IF(C14&lt;&gt;"",SUM(B11:B14),IF(C13&lt;&gt;"",SUM(B11:B13),IF(C12&lt;&gt;"",SUM(B11:B12),B11)))))</f>
        <v>12844</v>
      </c>
      <c r="C24" s="59">
        <f>COUNTIF(C11:C22,"&gt;0")</f>
        <v>9</v>
      </c>
      <c r="D24" s="59"/>
      <c r="E24" s="60"/>
      <c r="F24" s="93">
        <f>IF(G16&lt;&gt;"",SUM(F11:F16),IF(G15&lt;&gt;"",SUM(F11:F15),IF(G14&lt;&gt;"",SUM(F11:F14),IF(G13&lt;&gt;"",SUM(F11:F13),IF(G12&lt;&gt;"",SUM(F11:F12),F11)))))</f>
        <v>3907</v>
      </c>
      <c r="G24" s="59">
        <f>COUNTIF(G11:G22,"&gt;0")</f>
        <v>9</v>
      </c>
      <c r="H24" s="59"/>
      <c r="I24" s="60"/>
      <c r="J24" s="93">
        <f>IF(K16&lt;&gt;"",SUM(J11:J16),IF(K15&lt;&gt;"",SUM(J11:J15),IF(K14&lt;&gt;"",SUM(J11:J14),IF(K13&lt;&gt;"",SUM(J11:J13),IF(K12&lt;&gt;"",SUM(J11:J12),J11)))))</f>
        <v>1085</v>
      </c>
      <c r="K24" s="59">
        <f>COUNTIF(K11:K22,"&gt;0")</f>
        <v>9</v>
      </c>
      <c r="L24" s="59"/>
      <c r="M24" s="60"/>
      <c r="N24" s="93">
        <f>IF(O16&lt;&gt;"",SUM(N11:N16),IF(O15&lt;&gt;"",SUM(N11:N15),IF(O14&lt;&gt;"",SUM(N11:N14),IF(O13&lt;&gt;"",SUM(N11:N13),IF(O12&lt;&gt;"",SUM(N11:N12),N11)))))</f>
        <v>17836</v>
      </c>
      <c r="O24" s="59">
        <f>COUNTIF(O11:O22,"&gt;0")</f>
        <v>9</v>
      </c>
      <c r="P24" s="59"/>
      <c r="Q24" s="60"/>
    </row>
    <row r="25" spans="1:21" ht="11.25" customHeight="1">
      <c r="B25" s="91">
        <f>IF(C22&lt;&gt;"",SUM(B11:B22),IF(C21&lt;&gt;"",SUM(B11:B21),IF(C20&lt;&gt;"",SUM(B11:B20),IF(C19&lt;&gt;"",SUM(B11:B19),IF(C18&lt;&gt;"",SUM(B11:B18),SUM(B11:B17))))))</f>
        <v>19936</v>
      </c>
      <c r="F25" s="91">
        <f>IF(G22&lt;&gt;"",SUM(F11:F22),IF(G21&lt;&gt;"",SUM(F11:F21),IF(G20&lt;&gt;"",SUM(F11:F20),IF(G19&lt;&gt;"",SUM(F11:F19),IF(G18&lt;&gt;"",SUM(F11:F18),SUM(F11:F17))))))</f>
        <v>5516</v>
      </c>
      <c r="J25" s="91">
        <f>IF(K22&lt;&gt;"",SUM(J11:J22),IF(K21&lt;&gt;"",SUM(J11:J21),IF(K20&lt;&gt;"",SUM(J11:J20),IF(K19&lt;&gt;"",SUM(J11:J19),IF(K18&lt;&gt;"",SUM(J11:J18),SUM(J11:J17))))))</f>
        <v>1656</v>
      </c>
      <c r="N25" s="91">
        <f>IF(O22&lt;&gt;"",SUM(N11:N22),IF(O21&lt;&gt;"",SUM(N11:N21),IF(O20&lt;&gt;"",SUM(N11:N20),IF(O19&lt;&gt;"",SUM(N11:N19),IF(O18&lt;&gt;"",SUM(N11:N18),SUM(N11:N17))))))</f>
        <v>27108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8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  <c r="T29" s="54"/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18" t="s">
        <v>23</v>
      </c>
      <c r="S30" s="119"/>
      <c r="T30" s="55"/>
    </row>
    <row r="31" spans="1:21" ht="11.25" customHeight="1">
      <c r="A31" s="20" t="s">
        <v>6</v>
      </c>
      <c r="B31" s="78">
        <f t="shared" ref="B31:B42" si="10">IF(C11="","",B11/$R31)</f>
        <v>69.727272727272734</v>
      </c>
      <c r="C31" s="81">
        <f t="shared" ref="C31:C42" si="11">IF(C11="","",C11/$S31)</f>
        <v>58.68181818181818</v>
      </c>
      <c r="D31" s="77">
        <f>IF(OR(C31="",B31=0),"",C31-B31)</f>
        <v>-11.045454545454554</v>
      </c>
      <c r="E31" s="73">
        <f>IF(D31="","",(C31-B31)/ABS(B31))</f>
        <v>-0.15840938722294665</v>
      </c>
      <c r="F31" s="78">
        <f t="shared" ref="F31:F42" si="12">IF(G11="","",F11/$R31)</f>
        <v>24.818181818181817</v>
      </c>
      <c r="G31" s="81">
        <f t="shared" ref="G31:G42" si="13">IF(G11="","",G11/$S31)</f>
        <v>26.181818181818183</v>
      </c>
      <c r="H31" s="96">
        <f>IF(OR(G31="",F31=0),"",G31-F31)</f>
        <v>1.3636363636363669</v>
      </c>
      <c r="I31" s="73">
        <f>IF(H31="","",(G31-F31)/ABS(F31))</f>
        <v>5.4945054945055076E-2</v>
      </c>
      <c r="J31" s="78">
        <f t="shared" ref="J31:J42" si="14">IF(K11="","",J11/$R31)</f>
        <v>5.7272727272727275</v>
      </c>
      <c r="K31" s="81">
        <f t="shared" ref="K31:K42" si="15">IF(K11="","",K11/$S31)</f>
        <v>7.0909090909090908</v>
      </c>
      <c r="L31" s="96">
        <f>IF(OR(K31="",J31=0),"",K31-J31)</f>
        <v>1.3636363636363633</v>
      </c>
      <c r="M31" s="73">
        <f>IF(L31="","",(K31-J31)/ABS(J31))</f>
        <v>0.23809523809523803</v>
      </c>
      <c r="N31" s="78">
        <f t="shared" ref="N31:N42" si="16">IF(O11="","",N11/$R31)</f>
        <v>100.27272727272727</v>
      </c>
      <c r="O31" s="81">
        <f t="shared" ref="O31:O42" si="17">IF(O11="","",O11/$S31)</f>
        <v>91.954545454545453</v>
      </c>
      <c r="P31" s="96">
        <f>IF(OR(O31="",N31=0),"",O31-N31)</f>
        <v>-8.318181818181813</v>
      </c>
      <c r="Q31" s="71">
        <f>IF(P31="","",(O31-N31)/ABS(N31))</f>
        <v>-8.2955575702629153E-2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63.095238095238095</v>
      </c>
      <c r="C32" s="81">
        <f t="shared" si="11"/>
        <v>78.650000000000006</v>
      </c>
      <c r="D32" s="77">
        <f t="shared" ref="D32:D42" si="18">IF(OR(C32="",B32=0),"",C32-B32)</f>
        <v>15.554761904761911</v>
      </c>
      <c r="E32" s="73">
        <f t="shared" ref="E32:E42" si="19">IF(D32="","",(C32-B32)/ABS(B32))</f>
        <v>0.24652830188679256</v>
      </c>
      <c r="F32" s="78">
        <f t="shared" si="12"/>
        <v>30.904761904761905</v>
      </c>
      <c r="G32" s="81">
        <f t="shared" si="13"/>
        <v>30.8</v>
      </c>
      <c r="H32" s="96">
        <f t="shared" ref="H32:H42" si="20">IF(OR(G32="",F32=0),"",G32-F32)</f>
        <v>-0.10476190476190439</v>
      </c>
      <c r="I32" s="73">
        <f t="shared" ref="I32:I42" si="21">IF(H32="","",(G32-F32)/ABS(F32))</f>
        <v>-3.389830508474564E-3</v>
      </c>
      <c r="J32" s="78">
        <f t="shared" si="14"/>
        <v>8</v>
      </c>
      <c r="K32" s="81">
        <f t="shared" si="15"/>
        <v>8.3000000000000007</v>
      </c>
      <c r="L32" s="96">
        <f t="shared" ref="L32:L42" si="22">IF(OR(K32="",J32=0),"",K32-J32)</f>
        <v>0.30000000000000071</v>
      </c>
      <c r="M32" s="73">
        <f t="shared" ref="M32:M42" si="23">IF(L32="","",(K32-J32)/ABS(J32))</f>
        <v>3.7500000000000089E-2</v>
      </c>
      <c r="N32" s="78">
        <f t="shared" si="16"/>
        <v>102</v>
      </c>
      <c r="O32" s="81">
        <f t="shared" si="17"/>
        <v>117.75</v>
      </c>
      <c r="P32" s="96">
        <f t="shared" ref="P32:P42" si="24">IF(OR(O32="",N32=0),"",O32-N32)</f>
        <v>15.75</v>
      </c>
      <c r="Q32" s="71">
        <f t="shared" ref="Q32:Q42" si="25">IF(P32="","",(O32-N32)/ABS(N32))</f>
        <v>0.15441176470588236</v>
      </c>
      <c r="R32" s="67">
        <v>21</v>
      </c>
      <c r="S32" s="68">
        <v>20</v>
      </c>
      <c r="T32" s="92">
        <f t="shared" ref="T32:T42" si="26">IF(OR(N32="",N32=0),"",R32)</f>
        <v>21</v>
      </c>
      <c r="U32" s="92">
        <f t="shared" ref="U32:U42" si="27">IF(OR(O32="",O32=0),"",S32)</f>
        <v>20</v>
      </c>
    </row>
    <row r="33" spans="1:21" ht="11.25" customHeight="1">
      <c r="A33" s="46" t="s">
        <v>8</v>
      </c>
      <c r="B33" s="79">
        <f t="shared" si="10"/>
        <v>100.04545454545455</v>
      </c>
      <c r="C33" s="82">
        <f t="shared" si="11"/>
        <v>114</v>
      </c>
      <c r="D33" s="84">
        <f t="shared" si="18"/>
        <v>13.954545454545453</v>
      </c>
      <c r="E33" s="74">
        <f t="shared" si="19"/>
        <v>0.13948205361199453</v>
      </c>
      <c r="F33" s="79">
        <f t="shared" si="12"/>
        <v>33.363636363636367</v>
      </c>
      <c r="G33" s="82">
        <f t="shared" si="13"/>
        <v>29.65</v>
      </c>
      <c r="H33" s="97">
        <f t="shared" si="20"/>
        <v>-3.7136363636363683</v>
      </c>
      <c r="I33" s="74">
        <f t="shared" si="21"/>
        <v>-0.11130790190735708</v>
      </c>
      <c r="J33" s="79">
        <f t="shared" si="14"/>
        <v>9.5909090909090917</v>
      </c>
      <c r="K33" s="82">
        <f t="shared" si="15"/>
        <v>7.55</v>
      </c>
      <c r="L33" s="97">
        <f t="shared" si="22"/>
        <v>-2.0409090909090919</v>
      </c>
      <c r="M33" s="74">
        <f t="shared" si="23"/>
        <v>-0.21279620853080577</v>
      </c>
      <c r="N33" s="79">
        <f t="shared" si="16"/>
        <v>143</v>
      </c>
      <c r="O33" s="82">
        <f t="shared" si="17"/>
        <v>151.19999999999999</v>
      </c>
      <c r="P33" s="97">
        <f t="shared" si="24"/>
        <v>8.1999999999999886</v>
      </c>
      <c r="Q33" s="72">
        <f t="shared" si="25"/>
        <v>5.7342657342657262E-2</v>
      </c>
      <c r="R33" s="69">
        <v>22</v>
      </c>
      <c r="S33" s="101">
        <v>20</v>
      </c>
      <c r="T33" s="92">
        <f t="shared" si="26"/>
        <v>22</v>
      </c>
      <c r="U33" s="92">
        <f t="shared" si="27"/>
        <v>20</v>
      </c>
    </row>
    <row r="34" spans="1:21" ht="11.25" customHeight="1">
      <c r="A34" s="20" t="s">
        <v>9</v>
      </c>
      <c r="B34" s="78">
        <f t="shared" si="10"/>
        <v>124.63157894736842</v>
      </c>
      <c r="C34" s="81">
        <f t="shared" si="11"/>
        <v>120.28571428571429</v>
      </c>
      <c r="D34" s="77">
        <f t="shared" si="18"/>
        <v>-4.345864661654133</v>
      </c>
      <c r="E34" s="73">
        <f t="shared" si="19"/>
        <v>-3.4869691119691099E-2</v>
      </c>
      <c r="F34" s="78">
        <f t="shared" si="12"/>
        <v>34.89473684210526</v>
      </c>
      <c r="G34" s="81">
        <f t="shared" si="13"/>
        <v>40</v>
      </c>
      <c r="H34" s="96">
        <f t="shared" si="20"/>
        <v>5.1052631578947398</v>
      </c>
      <c r="I34" s="73">
        <f t="shared" si="21"/>
        <v>0.14630467571644051</v>
      </c>
      <c r="J34" s="78">
        <f t="shared" si="14"/>
        <v>11.368421052631579</v>
      </c>
      <c r="K34" s="81">
        <f t="shared" si="15"/>
        <v>8.8571428571428577</v>
      </c>
      <c r="L34" s="96">
        <f t="shared" si="22"/>
        <v>-2.5112781954887211</v>
      </c>
      <c r="M34" s="73">
        <f t="shared" si="23"/>
        <v>-0.22089947089947085</v>
      </c>
      <c r="N34" s="78">
        <f t="shared" si="16"/>
        <v>170.89473684210526</v>
      </c>
      <c r="O34" s="81">
        <f t="shared" si="17"/>
        <v>169.14285714285714</v>
      </c>
      <c r="P34" s="96">
        <f t="shared" si="24"/>
        <v>-1.7518796992481214</v>
      </c>
      <c r="Q34" s="71">
        <f t="shared" si="25"/>
        <v>-1.0251220907211058E-2</v>
      </c>
      <c r="R34" s="67">
        <v>19</v>
      </c>
      <c r="S34" s="68">
        <v>21</v>
      </c>
      <c r="T34" s="92">
        <f t="shared" si="26"/>
        <v>19</v>
      </c>
      <c r="U34" s="92">
        <f t="shared" si="27"/>
        <v>21</v>
      </c>
    </row>
    <row r="35" spans="1:21" ht="11.25" customHeight="1">
      <c r="A35" s="20" t="s">
        <v>10</v>
      </c>
      <c r="B35" s="78">
        <f t="shared" si="10"/>
        <v>125.05</v>
      </c>
      <c r="C35" s="81">
        <f t="shared" si="11"/>
        <v>104.85</v>
      </c>
      <c r="D35" s="77">
        <f t="shared" si="18"/>
        <v>-20.200000000000003</v>
      </c>
      <c r="E35" s="73">
        <f t="shared" si="19"/>
        <v>-0.16153538584566177</v>
      </c>
      <c r="F35" s="78">
        <f t="shared" si="12"/>
        <v>29.95</v>
      </c>
      <c r="G35" s="81">
        <f t="shared" si="13"/>
        <v>40.950000000000003</v>
      </c>
      <c r="H35" s="96">
        <f t="shared" si="20"/>
        <v>11.000000000000004</v>
      </c>
      <c r="I35" s="73">
        <f t="shared" si="21"/>
        <v>0.36727879799666124</v>
      </c>
      <c r="J35" s="78">
        <f t="shared" si="14"/>
        <v>9</v>
      </c>
      <c r="K35" s="81">
        <f t="shared" si="15"/>
        <v>9.1999999999999993</v>
      </c>
      <c r="L35" s="96">
        <f t="shared" si="22"/>
        <v>0.19999999999999929</v>
      </c>
      <c r="M35" s="73">
        <f t="shared" si="23"/>
        <v>2.2222222222222143E-2</v>
      </c>
      <c r="N35" s="78">
        <f t="shared" si="16"/>
        <v>164</v>
      </c>
      <c r="O35" s="81">
        <f t="shared" si="17"/>
        <v>155</v>
      </c>
      <c r="P35" s="96">
        <f t="shared" si="24"/>
        <v>-9</v>
      </c>
      <c r="Q35" s="71">
        <f t="shared" si="25"/>
        <v>-5.4878048780487805E-2</v>
      </c>
      <c r="R35" s="67">
        <v>20</v>
      </c>
      <c r="S35" s="68">
        <v>20</v>
      </c>
      <c r="T35" s="92">
        <f t="shared" si="26"/>
        <v>20</v>
      </c>
      <c r="U35" s="92">
        <f t="shared" si="27"/>
        <v>20</v>
      </c>
    </row>
    <row r="36" spans="1:21" ht="11.25" customHeight="1">
      <c r="A36" s="46" t="s">
        <v>11</v>
      </c>
      <c r="B36" s="79">
        <f t="shared" si="10"/>
        <v>138.8095238095238</v>
      </c>
      <c r="C36" s="82">
        <f t="shared" si="11"/>
        <v>131.75</v>
      </c>
      <c r="D36" s="84">
        <f t="shared" si="18"/>
        <v>-7.059523809523796</v>
      </c>
      <c r="E36" s="74">
        <f t="shared" si="19"/>
        <v>-5.0857632933104538E-2</v>
      </c>
      <c r="F36" s="79">
        <f t="shared" si="12"/>
        <v>34.095238095238095</v>
      </c>
      <c r="G36" s="82">
        <f t="shared" si="13"/>
        <v>41.15</v>
      </c>
      <c r="H36" s="97">
        <f t="shared" si="20"/>
        <v>7.0547619047619037</v>
      </c>
      <c r="I36" s="74">
        <f t="shared" si="21"/>
        <v>0.20691340782122902</v>
      </c>
      <c r="J36" s="79">
        <f t="shared" si="14"/>
        <v>8.7619047619047628</v>
      </c>
      <c r="K36" s="82">
        <f t="shared" si="15"/>
        <v>11.45</v>
      </c>
      <c r="L36" s="97">
        <f t="shared" si="22"/>
        <v>2.6880952380952365</v>
      </c>
      <c r="M36" s="74">
        <f t="shared" si="23"/>
        <v>0.30679347826086933</v>
      </c>
      <c r="N36" s="79">
        <f t="shared" si="16"/>
        <v>181.66666666666666</v>
      </c>
      <c r="O36" s="82">
        <f t="shared" si="17"/>
        <v>184.35</v>
      </c>
      <c r="P36" s="97">
        <f t="shared" si="24"/>
        <v>2.6833333333333371</v>
      </c>
      <c r="Q36" s="72">
        <f t="shared" si="25"/>
        <v>1.4770642201834884E-2</v>
      </c>
      <c r="R36" s="69">
        <v>21</v>
      </c>
      <c r="S36" s="101">
        <v>20</v>
      </c>
      <c r="T36" s="92">
        <f t="shared" si="26"/>
        <v>21</v>
      </c>
      <c r="U36" s="92">
        <f t="shared" si="27"/>
        <v>20</v>
      </c>
    </row>
    <row r="37" spans="1:21" ht="11.25" customHeight="1">
      <c r="A37" s="20" t="s">
        <v>12</v>
      </c>
      <c r="B37" s="78">
        <f t="shared" si="10"/>
        <v>117.40909090909091</v>
      </c>
      <c r="C37" s="81">
        <f t="shared" si="11"/>
        <v>119.21739130434783</v>
      </c>
      <c r="D37" s="77">
        <f t="shared" si="18"/>
        <v>1.8083003952569214</v>
      </c>
      <c r="E37" s="73">
        <f t="shared" si="19"/>
        <v>1.5401706812099215E-2</v>
      </c>
      <c r="F37" s="78">
        <f t="shared" si="12"/>
        <v>28.636363636363637</v>
      </c>
      <c r="G37" s="81">
        <f t="shared" si="13"/>
        <v>31.913043478260871</v>
      </c>
      <c r="H37" s="96">
        <f t="shared" si="20"/>
        <v>3.2766798418972343</v>
      </c>
      <c r="I37" s="73">
        <f t="shared" si="21"/>
        <v>0.11442374051069706</v>
      </c>
      <c r="J37" s="78">
        <f t="shared" si="14"/>
        <v>10.090909090909092</v>
      </c>
      <c r="K37" s="81">
        <f t="shared" si="15"/>
        <v>10.173913043478262</v>
      </c>
      <c r="L37" s="96">
        <f t="shared" si="22"/>
        <v>8.3003952569169925E-2</v>
      </c>
      <c r="M37" s="73">
        <f t="shared" si="23"/>
        <v>8.2256169212690904E-3</v>
      </c>
      <c r="N37" s="78">
        <f t="shared" si="16"/>
        <v>156.13636363636363</v>
      </c>
      <c r="O37" s="81">
        <f t="shared" si="17"/>
        <v>161.30434782608697</v>
      </c>
      <c r="P37" s="96">
        <f t="shared" si="24"/>
        <v>5.1679841897233416</v>
      </c>
      <c r="Q37" s="71">
        <f t="shared" si="25"/>
        <v>3.3099170938548333E-2</v>
      </c>
      <c r="R37" s="67">
        <v>22</v>
      </c>
      <c r="S37" s="68">
        <v>23</v>
      </c>
      <c r="T37" s="92">
        <f t="shared" si="26"/>
        <v>22</v>
      </c>
      <c r="U37" s="92">
        <f t="shared" si="27"/>
        <v>23</v>
      </c>
    </row>
    <row r="38" spans="1:21" ht="11.25" customHeight="1">
      <c r="A38" s="20" t="s">
        <v>13</v>
      </c>
      <c r="B38" s="78">
        <f t="shared" si="10"/>
        <v>94.318181818181813</v>
      </c>
      <c r="C38" s="81">
        <f t="shared" si="11"/>
        <v>108.42857142857143</v>
      </c>
      <c r="D38" s="77">
        <f t="shared" si="18"/>
        <v>14.110389610389618</v>
      </c>
      <c r="E38" s="73">
        <f t="shared" si="19"/>
        <v>0.14960413080895016</v>
      </c>
      <c r="F38" s="78">
        <f t="shared" si="12"/>
        <v>15.409090909090908</v>
      </c>
      <c r="G38" s="81">
        <f t="shared" si="13"/>
        <v>21.238095238095237</v>
      </c>
      <c r="H38" s="96">
        <f t="shared" si="20"/>
        <v>5.829004329004329</v>
      </c>
      <c r="I38" s="73">
        <f t="shared" si="21"/>
        <v>0.37828346677904201</v>
      </c>
      <c r="J38" s="78">
        <f t="shared" si="14"/>
        <v>7.4090909090909092</v>
      </c>
      <c r="K38" s="81">
        <f t="shared" si="15"/>
        <v>7.2380952380952381</v>
      </c>
      <c r="L38" s="96">
        <f t="shared" si="22"/>
        <v>-0.17099567099567103</v>
      </c>
      <c r="M38" s="73">
        <f t="shared" si="23"/>
        <v>-2.3079170318434126E-2</v>
      </c>
      <c r="N38" s="78">
        <f t="shared" si="16"/>
        <v>117.13636363636364</v>
      </c>
      <c r="O38" s="81">
        <f t="shared" si="17"/>
        <v>136.9047619047619</v>
      </c>
      <c r="P38" s="96">
        <f t="shared" si="24"/>
        <v>19.768398268398258</v>
      </c>
      <c r="Q38" s="71">
        <f t="shared" si="25"/>
        <v>0.16876397435186716</v>
      </c>
      <c r="R38" s="67">
        <v>22</v>
      </c>
      <c r="S38" s="68">
        <v>21</v>
      </c>
      <c r="T38" s="92">
        <f t="shared" si="26"/>
        <v>22</v>
      </c>
      <c r="U38" s="92">
        <f t="shared" si="27"/>
        <v>21</v>
      </c>
    </row>
    <row r="39" spans="1:21" ht="11.25" customHeight="1">
      <c r="A39" s="46" t="s">
        <v>14</v>
      </c>
      <c r="B39" s="79">
        <f t="shared" si="10"/>
        <v>121.7</v>
      </c>
      <c r="C39" s="82">
        <f t="shared" si="11"/>
        <v>109.85714285714286</v>
      </c>
      <c r="D39" s="84">
        <f t="shared" si="18"/>
        <v>-11.842857142857142</v>
      </c>
      <c r="E39" s="74">
        <f t="shared" si="19"/>
        <v>-9.7311891067026632E-2</v>
      </c>
      <c r="F39" s="79">
        <f t="shared" si="12"/>
        <v>32</v>
      </c>
      <c r="G39" s="82">
        <f t="shared" si="13"/>
        <v>33.714285714285715</v>
      </c>
      <c r="H39" s="97">
        <f t="shared" si="20"/>
        <v>1.7142857142857153</v>
      </c>
      <c r="I39" s="74">
        <f t="shared" si="21"/>
        <v>5.3571428571428603E-2</v>
      </c>
      <c r="J39" s="79">
        <f t="shared" si="14"/>
        <v>9.3000000000000007</v>
      </c>
      <c r="K39" s="82">
        <f t="shared" si="15"/>
        <v>9.4761904761904763</v>
      </c>
      <c r="L39" s="97">
        <f t="shared" si="22"/>
        <v>0.17619047619047556</v>
      </c>
      <c r="M39" s="74">
        <f t="shared" si="23"/>
        <v>1.8945212493599522E-2</v>
      </c>
      <c r="N39" s="79">
        <f t="shared" si="16"/>
        <v>163</v>
      </c>
      <c r="O39" s="82">
        <f t="shared" si="17"/>
        <v>153.04761904761904</v>
      </c>
      <c r="P39" s="97">
        <f t="shared" si="24"/>
        <v>-9.9523809523809632</v>
      </c>
      <c r="Q39" s="72">
        <f t="shared" si="25"/>
        <v>-6.1057551855097932E-2</v>
      </c>
      <c r="R39" s="69">
        <v>20</v>
      </c>
      <c r="S39" s="101">
        <v>21</v>
      </c>
      <c r="T39" s="92">
        <f t="shared" si="26"/>
        <v>20</v>
      </c>
      <c r="U39" s="92">
        <f t="shared" si="27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8"/>
        <v/>
      </c>
      <c r="E40" s="73" t="str">
        <f t="shared" si="19"/>
        <v/>
      </c>
      <c r="F40" s="78" t="str">
        <f t="shared" si="12"/>
        <v/>
      </c>
      <c r="G40" s="81" t="str">
        <f t="shared" si="13"/>
        <v/>
      </c>
      <c r="H40" s="96" t="str">
        <f t="shared" si="20"/>
        <v/>
      </c>
      <c r="I40" s="73" t="str">
        <f t="shared" si="21"/>
        <v/>
      </c>
      <c r="J40" s="78" t="str">
        <f t="shared" si="14"/>
        <v/>
      </c>
      <c r="K40" s="81" t="str">
        <f t="shared" si="15"/>
        <v/>
      </c>
      <c r="L40" s="96" t="str">
        <f t="shared" si="22"/>
        <v/>
      </c>
      <c r="M40" s="73" t="str">
        <f t="shared" si="23"/>
        <v/>
      </c>
      <c r="N40" s="78" t="str">
        <f t="shared" si="16"/>
        <v/>
      </c>
      <c r="O40" s="81" t="str">
        <f t="shared" si="17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7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8"/>
        <v/>
      </c>
      <c r="E41" s="73" t="str">
        <f t="shared" si="19"/>
        <v/>
      </c>
      <c r="F41" s="78" t="str">
        <f t="shared" si="12"/>
        <v/>
      </c>
      <c r="G41" s="81" t="str">
        <f t="shared" si="13"/>
        <v/>
      </c>
      <c r="H41" s="96" t="str">
        <f t="shared" si="20"/>
        <v/>
      </c>
      <c r="I41" s="73" t="str">
        <f t="shared" si="21"/>
        <v/>
      </c>
      <c r="J41" s="78" t="str">
        <f t="shared" si="14"/>
        <v/>
      </c>
      <c r="K41" s="81" t="str">
        <f t="shared" si="15"/>
        <v/>
      </c>
      <c r="L41" s="96" t="str">
        <f t="shared" si="22"/>
        <v/>
      </c>
      <c r="M41" s="73" t="str">
        <f t="shared" si="23"/>
        <v/>
      </c>
      <c r="N41" s="78" t="str">
        <f t="shared" si="16"/>
        <v/>
      </c>
      <c r="O41" s="81" t="str">
        <f t="shared" si="17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7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8"/>
        <v/>
      </c>
      <c r="E42" s="73" t="str">
        <f t="shared" si="19"/>
        <v/>
      </c>
      <c r="F42" s="78" t="str">
        <f t="shared" si="12"/>
        <v/>
      </c>
      <c r="G42" s="81" t="str">
        <f t="shared" si="13"/>
        <v/>
      </c>
      <c r="H42" s="96" t="str">
        <f t="shared" si="20"/>
        <v/>
      </c>
      <c r="I42" s="73" t="str">
        <f t="shared" si="21"/>
        <v/>
      </c>
      <c r="J42" s="78" t="str">
        <f t="shared" si="14"/>
        <v/>
      </c>
      <c r="K42" s="81" t="str">
        <f t="shared" si="15"/>
        <v/>
      </c>
      <c r="L42" s="96" t="str">
        <f t="shared" si="22"/>
        <v/>
      </c>
      <c r="M42" s="73" t="str">
        <f t="shared" si="23"/>
        <v/>
      </c>
      <c r="N42" s="78" t="str">
        <f t="shared" si="16"/>
        <v/>
      </c>
      <c r="O42" s="81" t="str">
        <f t="shared" si="17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7"/>
        <v/>
      </c>
    </row>
    <row r="43" spans="1:21" ht="11.25" customHeight="1" thickBot="1">
      <c r="A43" s="45" t="s">
        <v>29</v>
      </c>
      <c r="B43" s="80">
        <f>IF(B23=0,"",SUM(B31:B42)/B44)</f>
        <v>106.08737120579228</v>
      </c>
      <c r="C43" s="83">
        <f>IF(OR(C23=0,C23=""),"",SUM(C31:C42)/C44)</f>
        <v>105.0800708952883</v>
      </c>
      <c r="D43" s="75">
        <f>IF(B23=0,"",AVERAGE(D31:D42))</f>
        <v>-1.0073003105039693</v>
      </c>
      <c r="E43" s="65">
        <f>IF(B23=0,"",AVERAGE(E31:E42))</f>
        <v>5.3369116590450882E-3</v>
      </c>
      <c r="F43" s="80">
        <f>IF(F23=0,"",SUM(F31:F42)/F44)</f>
        <v>29.341334396597556</v>
      </c>
      <c r="G43" s="83">
        <f>IF(OR(G23=0,G23=""),"",SUM(G31:G42)/G44)</f>
        <v>32.844138068051109</v>
      </c>
      <c r="H43" s="75">
        <f>IF(F23=0,"",AVERAGE(H31:H42))</f>
        <v>3.5028036714535578</v>
      </c>
      <c r="I43" s="65">
        <f>IF(F23=0,"",AVERAGE(I31:I42))</f>
        <v>0.13411364888052466</v>
      </c>
      <c r="J43" s="80">
        <f>IF(J23=0,"",SUM(J31:J42)/J44)</f>
        <v>8.8053897369686851</v>
      </c>
      <c r="K43" s="83">
        <f>IF(OR(K23=0,K23=""),"",SUM(K31:K42)/K44)</f>
        <v>8.8151389673128833</v>
      </c>
      <c r="L43" s="75">
        <f>IF(J23=0,"",AVERAGE(L31:L42))</f>
        <v>9.7492303441957008E-3</v>
      </c>
      <c r="M43" s="65">
        <f>IF(J23=0,"",AVERAGE(M31:M42))</f>
        <v>1.9445213138276383E-2</v>
      </c>
      <c r="N43" s="80">
        <f>IF(N23=0,"",SUM(N31:N42)/N44)</f>
        <v>144.2340953393585</v>
      </c>
      <c r="O43" s="83">
        <f>IF(OR(O23=0,O23=""),"",SUM(O31:O42)/O44)</f>
        <v>146.73934793065229</v>
      </c>
      <c r="P43" s="75">
        <f>IF(N23=0,"",AVERAGE(P31:P42))</f>
        <v>2.5052525912937806</v>
      </c>
      <c r="Q43" s="65">
        <f>IF(N23=0,"",AVERAGE(Q31:Q42))</f>
        <v>2.4360645810596007E-2</v>
      </c>
      <c r="R43" s="70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>
        <f>COUNTIF(B31:B42,"&gt;0")</f>
        <v>9</v>
      </c>
      <c r="C44" s="61">
        <f>COUNTIF(C31:C42,"&gt;0")</f>
        <v>9</v>
      </c>
      <c r="D44" s="62"/>
      <c r="E44" s="63"/>
      <c r="F44" s="61">
        <f>COUNTIF(F31:F42,"&gt;0")</f>
        <v>9</v>
      </c>
      <c r="G44" s="61">
        <f>COUNTIF(G31:G42,"&gt;0")</f>
        <v>9</v>
      </c>
      <c r="H44" s="62"/>
      <c r="I44" s="63"/>
      <c r="J44" s="61">
        <f>COUNTIF(J31:J42,"&gt;0")</f>
        <v>9</v>
      </c>
      <c r="K44" s="61">
        <f>COUNTIF(K31:K42,"&gt;0")</f>
        <v>9</v>
      </c>
      <c r="L44" s="62"/>
      <c r="M44" s="63"/>
      <c r="N44" s="61">
        <f>COUNTIF(N31:N42,"&gt;0")</f>
        <v>9</v>
      </c>
      <c r="O44" s="61">
        <f>COUNTIF(O31:O42,"&gt;0")</f>
        <v>9</v>
      </c>
      <c r="P44" s="62"/>
      <c r="Q44" s="63"/>
    </row>
    <row r="45" spans="1:21" ht="11.25" customHeight="1">
      <c r="A45"/>
      <c r="B45"/>
      <c r="C45"/>
      <c r="D45"/>
      <c r="E45"/>
      <c r="F45"/>
      <c r="G45" s="76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B6:E7"/>
    <mergeCell ref="D9:E9"/>
    <mergeCell ref="F8:I8"/>
    <mergeCell ref="B2:E2"/>
    <mergeCell ref="B3:C3"/>
    <mergeCell ref="D3:E3"/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  <mergeCell ref="J28:M28"/>
    <mergeCell ref="N28:Q28"/>
    <mergeCell ref="P9:Q9"/>
    <mergeCell ref="H9:I9"/>
    <mergeCell ref="L9:M9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1:S43">
    <cfRule type="expression" dxfId="66" priority="3" stopIfTrue="1">
      <formula>S31&lt;$R31</formula>
    </cfRule>
    <cfRule type="expression" dxfId="65" priority="4" stopIfTrue="1">
      <formula>S31&gt;$R31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100" t="s">
        <v>27</v>
      </c>
      <c r="B2" s="139" t="s">
        <v>51</v>
      </c>
      <c r="C2" s="139"/>
      <c r="D2" s="139"/>
      <c r="E2" s="139"/>
      <c r="Q2" s="95"/>
    </row>
    <row r="3" spans="1:17" ht="13.5" customHeight="1">
      <c r="A3" s="1"/>
      <c r="B3" s="140" t="s">
        <v>20</v>
      </c>
      <c r="C3" s="140"/>
      <c r="D3" s="149" t="s">
        <v>25</v>
      </c>
      <c r="E3" s="149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f>SUM('BON-SN'!B11,'BSL-SN'!B11,'BWA-SN'!B11,'RFA-SN'!B11)</f>
        <v>28163</v>
      </c>
      <c r="C11" s="47">
        <f>IF('BON-SN'!C11="","",SUM('BON-SN'!C11,'BSL-SN'!C11,'BWA-SN'!C11,'RFA-SN'!C11))</f>
        <v>27518</v>
      </c>
      <c r="D11" s="21">
        <f t="shared" ref="D11:D22" si="0">IF(C11="","",C11-B11)</f>
        <v>-645</v>
      </c>
      <c r="E11" s="71">
        <f t="shared" ref="E11:E23" si="1">IF(D11="","",D11/B11)</f>
        <v>-2.2902389660192451E-2</v>
      </c>
      <c r="F11" s="38">
        <f>SUM('BON-SN'!F11,'BSL-SN'!F11,'BWA-SN'!F11,'RFA-SN'!F11)</f>
        <v>32808</v>
      </c>
      <c r="G11" s="47">
        <f>IF('BON-SN'!G11="","",SUM('BON-SN'!G11,'BSL-SN'!G11,'BWA-SN'!G11,'RFA-SN'!G11))</f>
        <v>33300</v>
      </c>
      <c r="H11" s="21">
        <f t="shared" ref="H11:H22" si="2">IF(G11="","",G11-F11)</f>
        <v>492</v>
      </c>
      <c r="I11" s="71">
        <f t="shared" ref="I11:I23" si="3">IF(H11="","",H11/F11)</f>
        <v>1.4996342355523043E-2</v>
      </c>
      <c r="J11" s="38">
        <f>SUM('BON-SN'!J11,'BSL-SN'!J11,'BWA-SN'!J11,'RFA-SN'!J11)</f>
        <v>23988</v>
      </c>
      <c r="K11" s="47">
        <f>IF('BON-SN'!K11="","",SUM('BON-SN'!K11,'BSL-SN'!K11,'BWA-SN'!K11,'RFA-SN'!K11))</f>
        <v>25591</v>
      </c>
      <c r="L11" s="21">
        <f t="shared" ref="L11:L22" si="4">IF(K11="","",K11-J11)</f>
        <v>1603</v>
      </c>
      <c r="M11" s="71">
        <f t="shared" ref="M11:M23" si="5">IF(L11="","",L11/J11)</f>
        <v>6.6825079206269802E-2</v>
      </c>
      <c r="N11" s="38">
        <f>SUM(B11,F11,J11)</f>
        <v>84959</v>
      </c>
      <c r="O11" s="34">
        <f t="shared" ref="O11:O22" si="6">IF(C11="","",SUM(C11,G11,K11))</f>
        <v>86409</v>
      </c>
      <c r="P11" s="21">
        <f t="shared" ref="P11:P22" si="7">IF(O11="","",O11-N11)</f>
        <v>1450</v>
      </c>
      <c r="Q11" s="71">
        <f t="shared" ref="Q11:Q23" si="8">IF(P11="","",P11/N11)</f>
        <v>1.7067055874009817E-2</v>
      </c>
    </row>
    <row r="12" spans="1:17" ht="11.25" customHeight="1">
      <c r="A12" s="20" t="s">
        <v>7</v>
      </c>
      <c r="B12" s="38">
        <f>SUM('BON-SN'!B12,'BSL-SN'!B12,'BWA-SN'!B12,'RFA-SN'!B12)</f>
        <v>29043</v>
      </c>
      <c r="C12" s="47">
        <f>IF('BON-SN'!C12="","",SUM('BON-SN'!C12,'BSL-SN'!C12,'BWA-SN'!C12,'RFA-SN'!C12))</f>
        <v>26501</v>
      </c>
      <c r="D12" s="21">
        <f t="shared" si="0"/>
        <v>-2542</v>
      </c>
      <c r="E12" s="71">
        <f t="shared" si="1"/>
        <v>-8.7525393382226355E-2</v>
      </c>
      <c r="F12" s="38">
        <f>SUM('BON-SN'!F12,'BSL-SN'!F12,'BWA-SN'!F12,'RFA-SN'!F12)</f>
        <v>36207</v>
      </c>
      <c r="G12" s="47">
        <f>IF('BON-SN'!G12="","",SUM('BON-SN'!G12,'BSL-SN'!G12,'BWA-SN'!G12,'RFA-SN'!G12))</f>
        <v>31745</v>
      </c>
      <c r="H12" s="21">
        <f t="shared" si="2"/>
        <v>-4462</v>
      </c>
      <c r="I12" s="71">
        <f t="shared" si="3"/>
        <v>-0.12323583837379512</v>
      </c>
      <c r="J12" s="38">
        <f>SUM('BON-SN'!J12,'BSL-SN'!J12,'BWA-SN'!J12,'RFA-SN'!J12)</f>
        <v>25141</v>
      </c>
      <c r="K12" s="47">
        <f>IF('BON-SN'!K12="","",SUM('BON-SN'!K12,'BSL-SN'!K12,'BWA-SN'!K12,'RFA-SN'!K12))</f>
        <v>31167</v>
      </c>
      <c r="L12" s="21">
        <f t="shared" si="4"/>
        <v>6026</v>
      </c>
      <c r="M12" s="71">
        <f t="shared" si="5"/>
        <v>0.23968815878445568</v>
      </c>
      <c r="N12" s="38">
        <f t="shared" ref="N12:N22" si="9">SUM(B12,F12,J12)</f>
        <v>90391</v>
      </c>
      <c r="O12" s="34">
        <f t="shared" si="6"/>
        <v>89413</v>
      </c>
      <c r="P12" s="21">
        <f t="shared" si="7"/>
        <v>-978</v>
      </c>
      <c r="Q12" s="71">
        <f t="shared" si="8"/>
        <v>-1.0819661249460676E-2</v>
      </c>
    </row>
    <row r="13" spans="1:17" ht="11.25" customHeight="1">
      <c r="A13" s="20" t="s">
        <v>8</v>
      </c>
      <c r="B13" s="40">
        <f>SUM('BON-SN'!B13,'BSL-SN'!B13,'BWA-SN'!B13,'RFA-SN'!B13)</f>
        <v>32765</v>
      </c>
      <c r="C13" s="48">
        <f>IF('BON-SN'!C13="","",SUM('BON-SN'!C13,'BSL-SN'!C13,'BWA-SN'!C13,'RFA-SN'!C13))</f>
        <v>29165</v>
      </c>
      <c r="D13" s="22">
        <f t="shared" si="0"/>
        <v>-3600</v>
      </c>
      <c r="E13" s="72">
        <f t="shared" si="1"/>
        <v>-0.10987334045475355</v>
      </c>
      <c r="F13" s="40">
        <f>SUM('BON-SN'!F13,'BSL-SN'!F13,'BWA-SN'!F13,'RFA-SN'!F13)</f>
        <v>40265</v>
      </c>
      <c r="G13" s="48">
        <f>IF('BON-SN'!G13="","",SUM('BON-SN'!G13,'BSL-SN'!G13,'BWA-SN'!G13,'RFA-SN'!G13))</f>
        <v>34622</v>
      </c>
      <c r="H13" s="22">
        <f t="shared" si="2"/>
        <v>-5643</v>
      </c>
      <c r="I13" s="72">
        <f t="shared" si="3"/>
        <v>-0.14014652924376009</v>
      </c>
      <c r="J13" s="40">
        <f>SUM('BON-SN'!J13,'BSL-SN'!J13,'BWA-SN'!J13,'RFA-SN'!J13)</f>
        <v>31205</v>
      </c>
      <c r="K13" s="48">
        <f>IF('BON-SN'!K13="","",SUM('BON-SN'!K13,'BSL-SN'!K13,'BWA-SN'!K13,'RFA-SN'!K13))</f>
        <v>28580</v>
      </c>
      <c r="L13" s="22">
        <f t="shared" si="4"/>
        <v>-2625</v>
      </c>
      <c r="M13" s="72">
        <f t="shared" si="5"/>
        <v>-8.4121134433584363E-2</v>
      </c>
      <c r="N13" s="40">
        <f t="shared" si="9"/>
        <v>104235</v>
      </c>
      <c r="O13" s="35">
        <f t="shared" si="6"/>
        <v>92367</v>
      </c>
      <c r="P13" s="22">
        <f t="shared" si="7"/>
        <v>-11868</v>
      </c>
      <c r="Q13" s="72">
        <f t="shared" si="8"/>
        <v>-0.11385810908044323</v>
      </c>
    </row>
    <row r="14" spans="1:17" ht="11.25" customHeight="1">
      <c r="A14" s="20" t="s">
        <v>9</v>
      </c>
      <c r="B14" s="38">
        <f>SUM('BON-SN'!B14,'BSL-SN'!B14,'BWA-SN'!B14,'RFA-SN'!B14)</f>
        <v>28760</v>
      </c>
      <c r="C14" s="47">
        <f>IF('BON-SN'!C14="","",SUM('BON-SN'!C14,'BSL-SN'!C14,'BWA-SN'!C14,'RFA-SN'!C14))</f>
        <v>30812</v>
      </c>
      <c r="D14" s="21">
        <f t="shared" si="0"/>
        <v>2052</v>
      </c>
      <c r="E14" s="71">
        <f t="shared" si="1"/>
        <v>7.1349095966620313E-2</v>
      </c>
      <c r="F14" s="38">
        <f>SUM('BON-SN'!F14,'BSL-SN'!F14,'BWA-SN'!F14,'RFA-SN'!F14)</f>
        <v>31764</v>
      </c>
      <c r="G14" s="47">
        <f>IF('BON-SN'!G14="","",SUM('BON-SN'!G14,'BSL-SN'!G14,'BWA-SN'!G14,'RFA-SN'!G14))</f>
        <v>34223</v>
      </c>
      <c r="H14" s="21">
        <f t="shared" si="2"/>
        <v>2459</v>
      </c>
      <c r="I14" s="71">
        <f t="shared" si="3"/>
        <v>7.7414683289258282E-2</v>
      </c>
      <c r="J14" s="38">
        <f>SUM('BON-SN'!J14,'BSL-SN'!J14,'BWA-SN'!J14,'RFA-SN'!J14)</f>
        <v>26559</v>
      </c>
      <c r="K14" s="47">
        <f>IF('BON-SN'!K14="","",SUM('BON-SN'!K14,'BSL-SN'!K14,'BWA-SN'!K14,'RFA-SN'!K14))</f>
        <v>32587</v>
      </c>
      <c r="L14" s="21">
        <f t="shared" si="4"/>
        <v>6028</v>
      </c>
      <c r="M14" s="71">
        <f t="shared" si="5"/>
        <v>0.22696637674611242</v>
      </c>
      <c r="N14" s="38">
        <f t="shared" si="9"/>
        <v>87083</v>
      </c>
      <c r="O14" s="34">
        <f t="shared" si="6"/>
        <v>97622</v>
      </c>
      <c r="P14" s="21">
        <f t="shared" si="7"/>
        <v>10539</v>
      </c>
      <c r="Q14" s="71">
        <f t="shared" si="8"/>
        <v>0.12102247281329306</v>
      </c>
    </row>
    <row r="15" spans="1:17" ht="11.25" customHeight="1">
      <c r="A15" s="20" t="s">
        <v>10</v>
      </c>
      <c r="B15" s="38">
        <f>SUM('BON-SN'!B15,'BSL-SN'!B15,'BWA-SN'!B15,'RFA-SN'!B15)</f>
        <v>28299</v>
      </c>
      <c r="C15" s="47">
        <f>IF('BON-SN'!C15="","",SUM('BON-SN'!C15,'BSL-SN'!C15,'BWA-SN'!C15,'RFA-SN'!C15))</f>
        <v>27766</v>
      </c>
      <c r="D15" s="21">
        <f t="shared" si="0"/>
        <v>-533</v>
      </c>
      <c r="E15" s="71">
        <f t="shared" si="1"/>
        <v>-1.8834587794621719E-2</v>
      </c>
      <c r="F15" s="38">
        <f>SUM('BON-SN'!F15,'BSL-SN'!F15,'BWA-SN'!F15,'RFA-SN'!F15)</f>
        <v>34523</v>
      </c>
      <c r="G15" s="47">
        <f>IF('BON-SN'!G15="","",SUM('BON-SN'!G15,'BSL-SN'!G15,'BWA-SN'!G15,'RFA-SN'!G15))</f>
        <v>33681</v>
      </c>
      <c r="H15" s="21">
        <f t="shared" si="2"/>
        <v>-842</v>
      </c>
      <c r="I15" s="71">
        <f t="shared" si="3"/>
        <v>-2.4389537409842715E-2</v>
      </c>
      <c r="J15" s="38">
        <f>SUM('BON-SN'!J15,'BSL-SN'!J15,'BWA-SN'!J15,'RFA-SN'!J15)</f>
        <v>30087</v>
      </c>
      <c r="K15" s="47">
        <f>IF('BON-SN'!K15="","",SUM('BON-SN'!K15,'BSL-SN'!K15,'BWA-SN'!K15,'RFA-SN'!K15))</f>
        <v>30605</v>
      </c>
      <c r="L15" s="21">
        <f t="shared" si="4"/>
        <v>518</v>
      </c>
      <c r="M15" s="71">
        <f t="shared" si="5"/>
        <v>1.7216738126100972E-2</v>
      </c>
      <c r="N15" s="38">
        <f t="shared" si="9"/>
        <v>92909</v>
      </c>
      <c r="O15" s="34">
        <f t="shared" si="6"/>
        <v>92052</v>
      </c>
      <c r="P15" s="21">
        <f t="shared" si="7"/>
        <v>-857</v>
      </c>
      <c r="Q15" s="71">
        <f t="shared" si="8"/>
        <v>-9.2240794756159247E-3</v>
      </c>
    </row>
    <row r="16" spans="1:17" ht="11.25" customHeight="1">
      <c r="A16" s="20" t="s">
        <v>11</v>
      </c>
      <c r="B16" s="40">
        <f>SUM('BON-SN'!B16,'BSL-SN'!B16,'BWA-SN'!B16,'RFA-SN'!B16)</f>
        <v>28788</v>
      </c>
      <c r="C16" s="48">
        <f>IF('BON-SN'!C16="","",SUM('BON-SN'!C16,'BSL-SN'!C16,'BWA-SN'!C16,'RFA-SN'!C16))</f>
        <v>29084</v>
      </c>
      <c r="D16" s="22">
        <f t="shared" si="0"/>
        <v>296</v>
      </c>
      <c r="E16" s="72">
        <f t="shared" si="1"/>
        <v>1.0282061970265389E-2</v>
      </c>
      <c r="F16" s="40">
        <f>SUM('BON-SN'!F16,'BSL-SN'!F16,'BWA-SN'!F16,'RFA-SN'!F16)</f>
        <v>38724</v>
      </c>
      <c r="G16" s="48">
        <f>IF('BON-SN'!G16="","",SUM('BON-SN'!G16,'BSL-SN'!G16,'BWA-SN'!G16,'RFA-SN'!G16))</f>
        <v>33347</v>
      </c>
      <c r="H16" s="22">
        <f t="shared" si="2"/>
        <v>-5377</v>
      </c>
      <c r="I16" s="72">
        <f t="shared" si="3"/>
        <v>-0.13885445718417519</v>
      </c>
      <c r="J16" s="40">
        <f>SUM('BON-SN'!J16,'BSL-SN'!J16,'BWA-SN'!J16,'RFA-SN'!J16)</f>
        <v>30141</v>
      </c>
      <c r="K16" s="48">
        <f>IF('BON-SN'!K16="","",SUM('BON-SN'!K16,'BSL-SN'!K16,'BWA-SN'!K16,'RFA-SN'!K16))</f>
        <v>34042</v>
      </c>
      <c r="L16" s="22">
        <f t="shared" si="4"/>
        <v>3901</v>
      </c>
      <c r="M16" s="72">
        <f t="shared" si="5"/>
        <v>0.12942503566570451</v>
      </c>
      <c r="N16" s="40">
        <f t="shared" si="9"/>
        <v>97653</v>
      </c>
      <c r="O16" s="35">
        <f t="shared" si="6"/>
        <v>96473</v>
      </c>
      <c r="P16" s="22">
        <f t="shared" si="7"/>
        <v>-1180</v>
      </c>
      <c r="Q16" s="72">
        <f t="shared" si="8"/>
        <v>-1.2083602142279295E-2</v>
      </c>
    </row>
    <row r="17" spans="1:21" ht="11.25" customHeight="1">
      <c r="A17" s="20" t="s">
        <v>12</v>
      </c>
      <c r="B17" s="38">
        <f>SUM('BON-SN'!B17,'BSL-SN'!B17,'BWA-SN'!B17,'RFA-SN'!B17)</f>
        <v>29794</v>
      </c>
      <c r="C17" s="47">
        <f>IF('BON-SN'!C17="","",SUM('BON-SN'!C17,'BSL-SN'!C17,'BWA-SN'!C17,'RFA-SN'!C17))</f>
        <v>30899</v>
      </c>
      <c r="D17" s="21">
        <f t="shared" si="0"/>
        <v>1105</v>
      </c>
      <c r="E17" s="71">
        <f t="shared" si="1"/>
        <v>3.7088004296167015E-2</v>
      </c>
      <c r="F17" s="38">
        <f>SUM('BON-SN'!F17,'BSL-SN'!F17,'BWA-SN'!F17,'RFA-SN'!F17)</f>
        <v>35022</v>
      </c>
      <c r="G17" s="47">
        <f>IF('BON-SN'!G17="","",SUM('BON-SN'!G17,'BSL-SN'!G17,'BWA-SN'!G17,'RFA-SN'!G17))</f>
        <v>35020</v>
      </c>
      <c r="H17" s="21">
        <f t="shared" si="2"/>
        <v>-2</v>
      </c>
      <c r="I17" s="71">
        <f t="shared" si="3"/>
        <v>-5.7106961338587171E-5</v>
      </c>
      <c r="J17" s="38">
        <f>SUM('BON-SN'!J17,'BSL-SN'!J17,'BWA-SN'!J17,'RFA-SN'!J17)</f>
        <v>31412</v>
      </c>
      <c r="K17" s="47">
        <f>IF('BON-SN'!K17="","",SUM('BON-SN'!K17,'BSL-SN'!K17,'BWA-SN'!K17,'RFA-SN'!K17))</f>
        <v>36764</v>
      </c>
      <c r="L17" s="21">
        <f t="shared" si="4"/>
        <v>5352</v>
      </c>
      <c r="M17" s="71">
        <f t="shared" si="5"/>
        <v>0.17038074621163887</v>
      </c>
      <c r="N17" s="38">
        <f t="shared" si="9"/>
        <v>96228</v>
      </c>
      <c r="O17" s="34">
        <f t="shared" si="6"/>
        <v>102683</v>
      </c>
      <c r="P17" s="21">
        <f t="shared" si="7"/>
        <v>6455</v>
      </c>
      <c r="Q17" s="71">
        <f t="shared" si="8"/>
        <v>6.7080267697551654E-2</v>
      </c>
    </row>
    <row r="18" spans="1:21" ht="11.25" customHeight="1">
      <c r="A18" s="20" t="s">
        <v>13</v>
      </c>
      <c r="B18" s="38">
        <f>SUM('BON-SN'!B18,'BSL-SN'!B18,'BWA-SN'!B18,'RFA-SN'!B18)</f>
        <v>28171</v>
      </c>
      <c r="C18" s="47">
        <f>IF('BON-SN'!C18="","",SUM('BON-SN'!C18,'BSL-SN'!C18,'BWA-SN'!C18,'RFA-SN'!C18))</f>
        <v>25252</v>
      </c>
      <c r="D18" s="21">
        <f t="shared" si="0"/>
        <v>-2919</v>
      </c>
      <c r="E18" s="71">
        <f t="shared" si="1"/>
        <v>-0.10361719498775336</v>
      </c>
      <c r="F18" s="38">
        <f>SUM('BON-SN'!F18,'BSL-SN'!F18,'BWA-SN'!F18,'RFA-SN'!F18)</f>
        <v>27756</v>
      </c>
      <c r="G18" s="47">
        <f>IF('BON-SN'!G18="","",SUM('BON-SN'!G18,'BSL-SN'!G18,'BWA-SN'!G18,'RFA-SN'!G18))</f>
        <v>25758</v>
      </c>
      <c r="H18" s="21">
        <f t="shared" si="2"/>
        <v>-1998</v>
      </c>
      <c r="I18" s="71">
        <f t="shared" si="3"/>
        <v>-7.1984435797665364E-2</v>
      </c>
      <c r="J18" s="38">
        <f>SUM('BON-SN'!J18,'BSL-SN'!J18,'BWA-SN'!J18,'RFA-SN'!J18)</f>
        <v>26242</v>
      </c>
      <c r="K18" s="47">
        <f>IF('BON-SN'!K18="","",SUM('BON-SN'!K18,'BSL-SN'!K18,'BWA-SN'!K18,'RFA-SN'!K18))</f>
        <v>28203</v>
      </c>
      <c r="L18" s="21">
        <f t="shared" si="4"/>
        <v>1961</v>
      </c>
      <c r="M18" s="71">
        <f t="shared" si="5"/>
        <v>7.4727536010974774E-2</v>
      </c>
      <c r="N18" s="38">
        <f t="shared" si="9"/>
        <v>82169</v>
      </c>
      <c r="O18" s="34">
        <f t="shared" si="6"/>
        <v>79213</v>
      </c>
      <c r="P18" s="21">
        <f t="shared" si="7"/>
        <v>-2956</v>
      </c>
      <c r="Q18" s="71">
        <f t="shared" si="8"/>
        <v>-3.5974637637065071E-2</v>
      </c>
    </row>
    <row r="19" spans="1:21" ht="11.25" customHeight="1">
      <c r="A19" s="20" t="s">
        <v>14</v>
      </c>
      <c r="B19" s="40">
        <f>SUM('BON-SN'!B19,'BSL-SN'!B19,'BWA-SN'!B19,'RFA-SN'!B19)</f>
        <v>28208</v>
      </c>
      <c r="C19" s="48">
        <f>IF('BON-SN'!C19="","",SUM('BON-SN'!C19,'BSL-SN'!C19,'BWA-SN'!C19,'RFA-SN'!C19))</f>
        <v>30201</v>
      </c>
      <c r="D19" s="22">
        <f t="shared" si="0"/>
        <v>1993</v>
      </c>
      <c r="E19" s="72">
        <f t="shared" si="1"/>
        <v>7.0653715258082811E-2</v>
      </c>
      <c r="F19" s="40">
        <f>SUM('BON-SN'!F19,'BSL-SN'!F19,'BWA-SN'!F19,'RFA-SN'!F19)</f>
        <v>33763</v>
      </c>
      <c r="G19" s="48">
        <f>IF('BON-SN'!G19="","",SUM('BON-SN'!G19,'BSL-SN'!G19,'BWA-SN'!G19,'RFA-SN'!G19))</f>
        <v>31917</v>
      </c>
      <c r="H19" s="22">
        <f t="shared" si="2"/>
        <v>-1846</v>
      </c>
      <c r="I19" s="72">
        <f t="shared" si="3"/>
        <v>-5.4675236205313511E-2</v>
      </c>
      <c r="J19" s="40">
        <f>SUM('BON-SN'!J19,'BSL-SN'!J19,'BWA-SN'!J19,'RFA-SN'!J19)</f>
        <v>29816</v>
      </c>
      <c r="K19" s="48">
        <f>IF('BON-SN'!K19="","",SUM('BON-SN'!K19,'BSL-SN'!K19,'BWA-SN'!K19,'RFA-SN'!K19))</f>
        <v>30701</v>
      </c>
      <c r="L19" s="22">
        <f t="shared" si="4"/>
        <v>885</v>
      </c>
      <c r="M19" s="72">
        <f t="shared" si="5"/>
        <v>2.9682049906090691E-2</v>
      </c>
      <c r="N19" s="40">
        <f t="shared" si="9"/>
        <v>91787</v>
      </c>
      <c r="O19" s="35">
        <f t="shared" si="6"/>
        <v>92819</v>
      </c>
      <c r="P19" s="22">
        <f t="shared" si="7"/>
        <v>1032</v>
      </c>
      <c r="Q19" s="72">
        <f t="shared" si="8"/>
        <v>1.124342227112772E-2</v>
      </c>
    </row>
    <row r="20" spans="1:21" ht="11.25" customHeight="1">
      <c r="A20" s="20" t="s">
        <v>15</v>
      </c>
      <c r="B20" s="38">
        <f>SUM('BON-SN'!B20,'BSL-SN'!B20,'BWA-SN'!B20,'RFA-SN'!B20)</f>
        <v>31437</v>
      </c>
      <c r="C20" s="47" t="str">
        <f>IF('BON-SN'!C20="","",SUM('BON-SN'!C20,'BSL-SN'!C20,'BWA-SN'!C20,'RFA-SN'!C20))</f>
        <v/>
      </c>
      <c r="D20" s="21" t="str">
        <f t="shared" si="0"/>
        <v/>
      </c>
      <c r="E20" s="71" t="str">
        <f t="shared" si="1"/>
        <v/>
      </c>
      <c r="F20" s="38">
        <f>SUM('BON-SN'!F20,'BSL-SN'!F20,'BWA-SN'!F20,'RFA-SN'!F20)</f>
        <v>35830</v>
      </c>
      <c r="G20" s="47" t="str">
        <f>IF('BON-SN'!G20="","",SUM('BON-SN'!G20,'BSL-SN'!G20,'BWA-SN'!G20,'RFA-SN'!G20))</f>
        <v/>
      </c>
      <c r="H20" s="21" t="str">
        <f t="shared" si="2"/>
        <v/>
      </c>
      <c r="I20" s="71" t="str">
        <f t="shared" si="3"/>
        <v/>
      </c>
      <c r="J20" s="38">
        <f>SUM('BON-SN'!J20,'BSL-SN'!J20,'BWA-SN'!J20,'RFA-SN'!J20)</f>
        <v>38532</v>
      </c>
      <c r="K20" s="47" t="str">
        <f>IF('BON-SN'!K20="","",SUM('BON-SN'!K20,'BSL-SN'!K20,'BWA-SN'!K20,'RFA-SN'!K20))</f>
        <v/>
      </c>
      <c r="L20" s="21" t="str">
        <f t="shared" si="4"/>
        <v/>
      </c>
      <c r="M20" s="71" t="str">
        <f t="shared" si="5"/>
        <v/>
      </c>
      <c r="N20" s="38">
        <f t="shared" si="9"/>
        <v>105799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f>SUM('BON-SN'!B21,'BSL-SN'!B21,'BWA-SN'!B21,'RFA-SN'!B21)</f>
        <v>30483</v>
      </c>
      <c r="C21" s="47" t="str">
        <f>IF('BON-SN'!C21="","",SUM('BON-SN'!C21,'BSL-SN'!C21,'BWA-SN'!C21,'RFA-SN'!C21))</f>
        <v/>
      </c>
      <c r="D21" s="21" t="str">
        <f t="shared" si="0"/>
        <v/>
      </c>
      <c r="E21" s="71" t="str">
        <f t="shared" si="1"/>
        <v/>
      </c>
      <c r="F21" s="38">
        <f>SUM('BON-SN'!F21,'BSL-SN'!F21,'BWA-SN'!F21,'RFA-SN'!F21)</f>
        <v>34524</v>
      </c>
      <c r="G21" s="47" t="str">
        <f>IF('BON-SN'!G21="","",SUM('BON-SN'!G21,'BSL-SN'!G21,'BWA-SN'!G21,'RFA-SN'!G21))</f>
        <v/>
      </c>
      <c r="H21" s="21" t="str">
        <f t="shared" si="2"/>
        <v/>
      </c>
      <c r="I21" s="71" t="str">
        <f t="shared" si="3"/>
        <v/>
      </c>
      <c r="J21" s="38">
        <f>SUM('BON-SN'!J21,'BSL-SN'!J21,'BWA-SN'!J21,'RFA-SN'!J21)</f>
        <v>31887</v>
      </c>
      <c r="K21" s="47" t="str">
        <f>IF('BON-SN'!K21="","",SUM('BON-SN'!K21,'BSL-SN'!K21,'BWA-SN'!K21,'RFA-SN'!K21))</f>
        <v/>
      </c>
      <c r="L21" s="21" t="str">
        <f t="shared" si="4"/>
        <v/>
      </c>
      <c r="M21" s="71" t="str">
        <f t="shared" si="5"/>
        <v/>
      </c>
      <c r="N21" s="38">
        <f t="shared" si="9"/>
        <v>96894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f>SUM('BON-SN'!B22,'BSL-SN'!B22,'BWA-SN'!B22,'RFA-SN'!B22)</f>
        <v>21766</v>
      </c>
      <c r="C22" s="49" t="str">
        <f>IF('BON-SN'!C22="","",SUM('BON-SN'!C22,'BSL-SN'!C22,'BWA-SN'!C22,'RFA-SN'!C22))</f>
        <v/>
      </c>
      <c r="D22" s="21" t="str">
        <f t="shared" si="0"/>
        <v/>
      </c>
      <c r="E22" s="57" t="str">
        <f t="shared" si="1"/>
        <v/>
      </c>
      <c r="F22" s="39">
        <f>SUM('BON-SN'!F22,'BSL-SN'!F22,'BWA-SN'!F22,'RFA-SN'!F22)</f>
        <v>26542</v>
      </c>
      <c r="G22" s="49" t="str">
        <f>IF('BON-SN'!G22="","",SUM('BON-SN'!G22,'BSL-SN'!G22,'BWA-SN'!G22,'RFA-SN'!G22))</f>
        <v/>
      </c>
      <c r="H22" s="21" t="str">
        <f t="shared" si="2"/>
        <v/>
      </c>
      <c r="I22" s="57" t="str">
        <f t="shared" si="3"/>
        <v/>
      </c>
      <c r="J22" s="39">
        <f>SUM('BON-SN'!J22,'BSL-SN'!J22,'BWA-SN'!J22,'RFA-SN'!J22)</f>
        <v>22401</v>
      </c>
      <c r="K22" s="49" t="str">
        <f>IF('BON-SN'!K22="","",SUM('BON-SN'!K22,'BSL-SN'!K22,'BWA-SN'!K22,'RFA-SN'!K22))</f>
        <v/>
      </c>
      <c r="L22" s="21" t="str">
        <f t="shared" si="4"/>
        <v/>
      </c>
      <c r="M22" s="57" t="str">
        <f t="shared" si="5"/>
        <v/>
      </c>
      <c r="N22" s="39">
        <f t="shared" si="9"/>
        <v>70709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261991</v>
      </c>
      <c r="C23" s="42">
        <f>IF(C11="","",SUM(C11:C22))</f>
        <v>257198</v>
      </c>
      <c r="D23" s="43">
        <f>IF(D11="","",SUM(D11:D22))</f>
        <v>-4793</v>
      </c>
      <c r="E23" s="64">
        <f t="shared" si="1"/>
        <v>-1.8294521567534763E-2</v>
      </c>
      <c r="F23" s="41">
        <f>IF(G24&lt;7,F24,F25)</f>
        <v>310832</v>
      </c>
      <c r="G23" s="42">
        <f>IF(G11="","",SUM(G11:G22))</f>
        <v>293613</v>
      </c>
      <c r="H23" s="43">
        <f>IF(H11="","",SUM(H11:H22))</f>
        <v>-17219</v>
      </c>
      <c r="I23" s="64">
        <f t="shared" si="3"/>
        <v>-5.5396484274463378E-2</v>
      </c>
      <c r="J23" s="41">
        <f>IF(K24&lt;7,J24,J25)</f>
        <v>254591</v>
      </c>
      <c r="K23" s="42">
        <f>IF(K11="","",SUM(K11:K22))</f>
        <v>278240</v>
      </c>
      <c r="L23" s="43">
        <f>IF(L11="","",SUM(L11:L22))</f>
        <v>23649</v>
      </c>
      <c r="M23" s="64">
        <f t="shared" si="5"/>
        <v>9.2890165009760758E-2</v>
      </c>
      <c r="N23" s="41">
        <f>IF(O24&lt;7,N24,N25)</f>
        <v>827414</v>
      </c>
      <c r="O23" s="42">
        <f>IF(O11="","",SUM(O11:O22))</f>
        <v>829051</v>
      </c>
      <c r="P23" s="43">
        <f>IF(P11="","",SUM(P11:P22))</f>
        <v>1637</v>
      </c>
      <c r="Q23" s="64">
        <f t="shared" si="8"/>
        <v>1.9784533498345448E-3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261991</v>
      </c>
      <c r="F25" s="91">
        <f>IF(G24=7,SUM(F11:F17),IF(G24=8,SUM(F11:F18),IF(G24=9,SUM(F11:F19),IF(G24=10,SUM(F11:F20),IF(G24=11,SUM(F11:F21),SUM(F11:F22))))))</f>
        <v>310832</v>
      </c>
      <c r="J25" s="91">
        <f>IF(K24=7,SUM(J11:J17),IF(K24=8,SUM(J11:J18),IF(K24=9,SUM(J11:J19),IF(K24=10,SUM(J11:J20),IF(K24=11,SUM(J11:J21),SUM(J11:J22))))))</f>
        <v>254591</v>
      </c>
      <c r="N25" s="91">
        <f>IF(O24=7,SUM(N11:N17),IF(O24=8,SUM(N11:N18),IF(O24=9,SUM(N11:N19),IF(O24=10,SUM(N11:N20),IF(O24=11,SUM(N11:N21),SUM(N11:N22))))))</f>
        <v>827414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 t="shared" ref="B31:B42" si="10">IF(C11="","",B11/$R31)</f>
        <v>1280.1363636363637</v>
      </c>
      <c r="C31" s="81">
        <f t="shared" ref="C31:C42" si="11">IF(C11="","",C11/$S31)</f>
        <v>1250.8181818181818</v>
      </c>
      <c r="D31" s="77">
        <f t="shared" ref="D31:D42" si="12">IF(C31="","",C31-B31)</f>
        <v>-29.318181818181984</v>
      </c>
      <c r="E31" s="73">
        <f t="shared" ref="E31:E43" si="13">IF(C31="","",(C31-B31)/ABS(B31))</f>
        <v>-2.290238966019258E-2</v>
      </c>
      <c r="F31" s="78">
        <f t="shared" ref="F31:F42" si="14">IF(G11="","",F11/$R31)</f>
        <v>1491.2727272727273</v>
      </c>
      <c r="G31" s="81">
        <f t="shared" ref="G31:G42" si="15">IF(G11="","",G11/$S31)</f>
        <v>1513.6363636363637</v>
      </c>
      <c r="H31" s="96">
        <f t="shared" ref="H31:H42" si="16">IF(G31="","",G31-F31)</f>
        <v>22.363636363636488</v>
      </c>
      <c r="I31" s="73">
        <f t="shared" ref="I31:I43" si="17">IF(G31="","",(G31-F31)/ABS(F31))</f>
        <v>1.4996342355523126E-2</v>
      </c>
      <c r="J31" s="78">
        <f t="shared" ref="J31:J42" si="18">IF(K11="","",J11/$R31)</f>
        <v>1090.3636363636363</v>
      </c>
      <c r="K31" s="81">
        <f t="shared" ref="K31:K42" si="19">IF(K11="","",K11/$S31)</f>
        <v>1163.2272727272727</v>
      </c>
      <c r="L31" s="96">
        <f t="shared" ref="L31:L42" si="20">IF(K31="","",K31-J31)</f>
        <v>72.863636363636488</v>
      </c>
      <c r="M31" s="73">
        <f t="shared" ref="M31:M43" si="21">IF(K31="","",(K31-J31)/ABS(J31))</f>
        <v>6.6825079206269927E-2</v>
      </c>
      <c r="N31" s="78">
        <f t="shared" ref="N31:N42" si="22">IF(O11="","",N11/$R31)</f>
        <v>3861.7727272727275</v>
      </c>
      <c r="O31" s="81">
        <f t="shared" ref="O31:O42" si="23">IF(O11="","",O11/$S31)</f>
        <v>3927.681818181818</v>
      </c>
      <c r="P31" s="96">
        <f t="shared" ref="P31:P42" si="24">IF(O31="","",O31-N31)</f>
        <v>65.909090909090537</v>
      </c>
      <c r="Q31" s="71">
        <f t="shared" ref="Q31:Q43" si="25">IF(O31="","",(O31-N31)/ABS(N31))</f>
        <v>1.706705587400972E-2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1383</v>
      </c>
      <c r="C32" s="81">
        <f t="shared" si="11"/>
        <v>1325.05</v>
      </c>
      <c r="D32" s="77">
        <f t="shared" si="12"/>
        <v>-57.950000000000045</v>
      </c>
      <c r="E32" s="73">
        <f t="shared" si="13"/>
        <v>-4.1901663051337704E-2</v>
      </c>
      <c r="F32" s="78">
        <f t="shared" si="14"/>
        <v>1724.1428571428571</v>
      </c>
      <c r="G32" s="81">
        <f t="shared" si="15"/>
        <v>1587.25</v>
      </c>
      <c r="H32" s="96">
        <f t="shared" si="16"/>
        <v>-136.89285714285711</v>
      </c>
      <c r="I32" s="73">
        <f t="shared" si="17"/>
        <v>-7.9397630292484866E-2</v>
      </c>
      <c r="J32" s="78">
        <f t="shared" si="18"/>
        <v>1197.1904761904761</v>
      </c>
      <c r="K32" s="81">
        <f t="shared" si="19"/>
        <v>1558.35</v>
      </c>
      <c r="L32" s="96">
        <f t="shared" si="20"/>
        <v>361.15952380952376</v>
      </c>
      <c r="M32" s="73">
        <f t="shared" si="21"/>
        <v>0.30167256672367843</v>
      </c>
      <c r="N32" s="78">
        <f t="shared" si="22"/>
        <v>4304.333333333333</v>
      </c>
      <c r="O32" s="81">
        <f t="shared" si="23"/>
        <v>4470.6499999999996</v>
      </c>
      <c r="P32" s="96">
        <f t="shared" si="24"/>
        <v>166.31666666666661</v>
      </c>
      <c r="Q32" s="71">
        <f t="shared" si="25"/>
        <v>3.8639355688066278E-2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20" t="s">
        <v>8</v>
      </c>
      <c r="B33" s="79">
        <f t="shared" si="10"/>
        <v>1489.3181818181818</v>
      </c>
      <c r="C33" s="82">
        <f t="shared" si="11"/>
        <v>1458.25</v>
      </c>
      <c r="D33" s="84">
        <f t="shared" si="12"/>
        <v>-31.068181818181756</v>
      </c>
      <c r="E33" s="74">
        <f t="shared" si="13"/>
        <v>-2.0860674500228861E-2</v>
      </c>
      <c r="F33" s="79">
        <f t="shared" si="14"/>
        <v>1830.2272727272727</v>
      </c>
      <c r="G33" s="82">
        <f t="shared" si="15"/>
        <v>1731.1</v>
      </c>
      <c r="H33" s="97">
        <f t="shared" si="16"/>
        <v>-99.127272727272839</v>
      </c>
      <c r="I33" s="74">
        <f t="shared" si="17"/>
        <v>-5.416118216813616E-2</v>
      </c>
      <c r="J33" s="79">
        <f t="shared" si="18"/>
        <v>1418.409090909091</v>
      </c>
      <c r="K33" s="82">
        <f t="shared" si="19"/>
        <v>1429</v>
      </c>
      <c r="L33" s="97">
        <f t="shared" si="20"/>
        <v>10.590909090909008</v>
      </c>
      <c r="M33" s="74">
        <f t="shared" si="21"/>
        <v>7.4667521230571436E-3</v>
      </c>
      <c r="N33" s="79">
        <f t="shared" si="22"/>
        <v>4737.954545454545</v>
      </c>
      <c r="O33" s="82">
        <f t="shared" si="23"/>
        <v>4618.3500000000004</v>
      </c>
      <c r="P33" s="97">
        <f t="shared" si="24"/>
        <v>-119.60454545454468</v>
      </c>
      <c r="Q33" s="72">
        <f t="shared" si="25"/>
        <v>-2.5243919988487389E-2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1513.6842105263158</v>
      </c>
      <c r="C34" s="81">
        <f t="shared" si="11"/>
        <v>1467.2380952380952</v>
      </c>
      <c r="D34" s="77">
        <f t="shared" si="12"/>
        <v>-46.446115288220653</v>
      </c>
      <c r="E34" s="73">
        <f t="shared" si="13"/>
        <v>-3.0684151268295979E-2</v>
      </c>
      <c r="F34" s="78">
        <f t="shared" si="14"/>
        <v>1671.7894736842106</v>
      </c>
      <c r="G34" s="81">
        <f t="shared" si="15"/>
        <v>1629.6666666666667</v>
      </c>
      <c r="H34" s="96">
        <f t="shared" si="16"/>
        <v>-42.122807017543892</v>
      </c>
      <c r="I34" s="73">
        <f t="shared" si="17"/>
        <v>-2.5196238928766337E-2</v>
      </c>
      <c r="J34" s="78">
        <f t="shared" si="18"/>
        <v>1397.8421052631579</v>
      </c>
      <c r="K34" s="81">
        <f t="shared" si="19"/>
        <v>1551.7619047619048</v>
      </c>
      <c r="L34" s="96">
        <f t="shared" si="20"/>
        <v>153.9197994987469</v>
      </c>
      <c r="M34" s="73">
        <f t="shared" si="21"/>
        <v>0.11011243610362555</v>
      </c>
      <c r="N34" s="78">
        <f t="shared" si="22"/>
        <v>4583.3157894736842</v>
      </c>
      <c r="O34" s="81">
        <f t="shared" si="23"/>
        <v>4648.666666666667</v>
      </c>
      <c r="P34" s="96">
        <f t="shared" si="24"/>
        <v>65.350877192982807</v>
      </c>
      <c r="Q34" s="71">
        <f t="shared" si="25"/>
        <v>1.4258427783455707E-2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1414.95</v>
      </c>
      <c r="C35" s="81">
        <f t="shared" si="11"/>
        <v>1388.3</v>
      </c>
      <c r="D35" s="77">
        <f t="shared" si="12"/>
        <v>-26.650000000000091</v>
      </c>
      <c r="E35" s="73">
        <f t="shared" si="13"/>
        <v>-1.8834587794621781E-2</v>
      </c>
      <c r="F35" s="78">
        <f t="shared" si="14"/>
        <v>1726.15</v>
      </c>
      <c r="G35" s="81">
        <f t="shared" si="15"/>
        <v>1684.05</v>
      </c>
      <c r="H35" s="96">
        <f t="shared" si="16"/>
        <v>-42.100000000000136</v>
      </c>
      <c r="I35" s="73">
        <f t="shared" si="17"/>
        <v>-2.4389537409842791E-2</v>
      </c>
      <c r="J35" s="78">
        <f t="shared" si="18"/>
        <v>1504.35</v>
      </c>
      <c r="K35" s="81">
        <f t="shared" si="19"/>
        <v>1530.25</v>
      </c>
      <c r="L35" s="96">
        <f t="shared" si="20"/>
        <v>25.900000000000091</v>
      </c>
      <c r="M35" s="73">
        <f t="shared" si="21"/>
        <v>1.7216738126101035E-2</v>
      </c>
      <c r="N35" s="78">
        <f t="shared" si="22"/>
        <v>4645.45</v>
      </c>
      <c r="O35" s="81">
        <f t="shared" si="23"/>
        <v>4602.6000000000004</v>
      </c>
      <c r="P35" s="96">
        <f t="shared" si="24"/>
        <v>-42.849999999999454</v>
      </c>
      <c r="Q35" s="71">
        <f t="shared" si="25"/>
        <v>-9.2240794756158085E-3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20" t="s">
        <v>11</v>
      </c>
      <c r="B36" s="79">
        <f t="shared" si="10"/>
        <v>1370.8571428571429</v>
      </c>
      <c r="C36" s="82">
        <f t="shared" si="11"/>
        <v>1454.2</v>
      </c>
      <c r="D36" s="84">
        <f t="shared" si="12"/>
        <v>83.342857142857156</v>
      </c>
      <c r="E36" s="74">
        <f t="shared" si="13"/>
        <v>6.0796165068778663E-2</v>
      </c>
      <c r="F36" s="79">
        <f t="shared" si="14"/>
        <v>1844</v>
      </c>
      <c r="G36" s="82">
        <f t="shared" si="15"/>
        <v>1667.35</v>
      </c>
      <c r="H36" s="97">
        <f t="shared" si="16"/>
        <v>-176.65000000000009</v>
      </c>
      <c r="I36" s="74">
        <f t="shared" si="17"/>
        <v>-9.5797180043384E-2</v>
      </c>
      <c r="J36" s="79">
        <f t="shared" si="18"/>
        <v>1435.2857142857142</v>
      </c>
      <c r="K36" s="82">
        <f t="shared" si="19"/>
        <v>1702.1</v>
      </c>
      <c r="L36" s="97">
        <f t="shared" si="20"/>
        <v>266.81428571428569</v>
      </c>
      <c r="M36" s="74">
        <f t="shared" si="21"/>
        <v>0.18589628744898973</v>
      </c>
      <c r="N36" s="79">
        <f t="shared" si="22"/>
        <v>4650.1428571428569</v>
      </c>
      <c r="O36" s="82">
        <f t="shared" si="23"/>
        <v>4823.6499999999996</v>
      </c>
      <c r="P36" s="97">
        <f t="shared" si="24"/>
        <v>173.50714285714275</v>
      </c>
      <c r="Q36" s="72">
        <f t="shared" si="25"/>
        <v>3.7312217750606717E-2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1354.2727272727273</v>
      </c>
      <c r="C37" s="81">
        <f t="shared" si="11"/>
        <v>1343.4347826086957</v>
      </c>
      <c r="D37" s="77">
        <f t="shared" si="12"/>
        <v>-10.837944664031511</v>
      </c>
      <c r="E37" s="73">
        <f t="shared" si="13"/>
        <v>-8.0027784993184272E-3</v>
      </c>
      <c r="F37" s="78">
        <f t="shared" si="14"/>
        <v>1591.909090909091</v>
      </c>
      <c r="G37" s="81">
        <f t="shared" si="15"/>
        <v>1522.608695652174</v>
      </c>
      <c r="H37" s="96">
        <f t="shared" si="16"/>
        <v>-69.300395256917</v>
      </c>
      <c r="I37" s="73">
        <f t="shared" si="17"/>
        <v>-4.3532884919541256E-2</v>
      </c>
      <c r="J37" s="78">
        <f t="shared" si="18"/>
        <v>1427.8181818181818</v>
      </c>
      <c r="K37" s="81">
        <f t="shared" si="19"/>
        <v>1598.4347826086957</v>
      </c>
      <c r="L37" s="96">
        <f t="shared" si="20"/>
        <v>170.61660079051398</v>
      </c>
      <c r="M37" s="73">
        <f t="shared" si="21"/>
        <v>0.11949462681113293</v>
      </c>
      <c r="N37" s="78">
        <f t="shared" si="22"/>
        <v>4374</v>
      </c>
      <c r="O37" s="81">
        <f t="shared" si="23"/>
        <v>4464.478260869565</v>
      </c>
      <c r="P37" s="96">
        <f t="shared" si="24"/>
        <v>90.47826086956502</v>
      </c>
      <c r="Q37" s="71">
        <f t="shared" si="25"/>
        <v>2.0685473449831966E-2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1280.5</v>
      </c>
      <c r="C38" s="81">
        <f t="shared" si="11"/>
        <v>1202.4761904761904</v>
      </c>
      <c r="D38" s="77">
        <f t="shared" si="12"/>
        <v>-78.023809523809632</v>
      </c>
      <c r="E38" s="73">
        <f t="shared" si="13"/>
        <v>-6.0932299510979795E-2</v>
      </c>
      <c r="F38" s="78">
        <f t="shared" si="14"/>
        <v>1261.6363636363637</v>
      </c>
      <c r="G38" s="81">
        <f t="shared" si="15"/>
        <v>1226.5714285714287</v>
      </c>
      <c r="H38" s="96">
        <f t="shared" si="16"/>
        <v>-35.064935064935071</v>
      </c>
      <c r="I38" s="73">
        <f t="shared" si="17"/>
        <v>-2.7793218454697056E-2</v>
      </c>
      <c r="J38" s="78">
        <f t="shared" si="18"/>
        <v>1192.8181818181818</v>
      </c>
      <c r="K38" s="81">
        <f t="shared" si="19"/>
        <v>1343</v>
      </c>
      <c r="L38" s="96">
        <f t="shared" si="20"/>
        <v>150.18181818181824</v>
      </c>
      <c r="M38" s="73">
        <f t="shared" si="21"/>
        <v>0.12590503772578315</v>
      </c>
      <c r="N38" s="78">
        <f t="shared" si="22"/>
        <v>3734.9545454545455</v>
      </c>
      <c r="O38" s="81">
        <f t="shared" si="23"/>
        <v>3772.0476190476193</v>
      </c>
      <c r="P38" s="96">
        <f t="shared" si="24"/>
        <v>37.093073593073768</v>
      </c>
      <c r="Q38" s="71">
        <f t="shared" si="25"/>
        <v>9.9313319992652086E-3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20" t="s">
        <v>14</v>
      </c>
      <c r="B39" s="79">
        <f t="shared" si="10"/>
        <v>1410.4</v>
      </c>
      <c r="C39" s="82">
        <f t="shared" si="11"/>
        <v>1438.1428571428571</v>
      </c>
      <c r="D39" s="84">
        <f t="shared" si="12"/>
        <v>27.742857142857019</v>
      </c>
      <c r="E39" s="74">
        <f t="shared" si="13"/>
        <v>1.9670205007697828E-2</v>
      </c>
      <c r="F39" s="79">
        <f t="shared" si="14"/>
        <v>1688.15</v>
      </c>
      <c r="G39" s="82">
        <f t="shared" si="15"/>
        <v>1519.8571428571429</v>
      </c>
      <c r="H39" s="97">
        <f t="shared" si="16"/>
        <v>-168.2928571428572</v>
      </c>
      <c r="I39" s="74">
        <f t="shared" si="17"/>
        <v>-9.9690701147917657E-2</v>
      </c>
      <c r="J39" s="79">
        <f t="shared" si="18"/>
        <v>1490.8</v>
      </c>
      <c r="K39" s="82">
        <f t="shared" si="19"/>
        <v>1461.952380952381</v>
      </c>
      <c r="L39" s="97">
        <f t="shared" si="20"/>
        <v>-28.847619047618991</v>
      </c>
      <c r="M39" s="74">
        <f t="shared" si="21"/>
        <v>-1.9350428660865972E-2</v>
      </c>
      <c r="N39" s="79">
        <f t="shared" si="22"/>
        <v>4589.3500000000004</v>
      </c>
      <c r="O39" s="82">
        <f t="shared" si="23"/>
        <v>4419.9523809523807</v>
      </c>
      <c r="P39" s="97">
        <f t="shared" si="24"/>
        <v>-169.39761904761963</v>
      </c>
      <c r="Q39" s="72">
        <f t="shared" si="25"/>
        <v>-3.6911026408449912E-2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90" t="s">
        <v>29</v>
      </c>
      <c r="B43" s="80">
        <f>AVERAGE(B31:B42)</f>
        <v>1388.5687362345259</v>
      </c>
      <c r="C43" s="83">
        <f>IF(C11="","",AVERAGE(C31:C42))</f>
        <v>1369.7677896982245</v>
      </c>
      <c r="D43" s="75">
        <f>IF(D31="","",AVERAGE(D31:D42))</f>
        <v>-18.800946536301279</v>
      </c>
      <c r="E43" s="65">
        <f t="shared" si="13"/>
        <v>-1.3539802564823063E-2</v>
      </c>
      <c r="F43" s="80">
        <f>AVERAGE(F31:F42)</f>
        <v>1647.697531708058</v>
      </c>
      <c r="G43" s="83">
        <f>IF(G11="","",AVERAGE(G31:G42))</f>
        <v>1564.6766997093087</v>
      </c>
      <c r="H43" s="98">
        <f>IF(H31="","",AVERAGE(H31:H42))</f>
        <v>-83.020831998749657</v>
      </c>
      <c r="I43" s="65">
        <f t="shared" si="17"/>
        <v>-5.0385966113991335E-2</v>
      </c>
      <c r="J43" s="80">
        <f>AVERAGE(J31:J42)</f>
        <v>1350.5419318498266</v>
      </c>
      <c r="K43" s="83">
        <f>IF(K11="","",AVERAGE(K31:K42))</f>
        <v>1482.0084823389172</v>
      </c>
      <c r="L43" s="98">
        <f>IF(L31="","",AVERAGE(L31:L42))</f>
        <v>131.46655048909057</v>
      </c>
      <c r="M43" s="65">
        <f t="shared" si="21"/>
        <v>9.7343553271997979E-2</v>
      </c>
      <c r="N43" s="80">
        <f>AVERAGE(N31:N42)</f>
        <v>4386.8081997924101</v>
      </c>
      <c r="O43" s="83">
        <f>IF(O11="","",AVERAGE(O31:O42))</f>
        <v>4416.4529717464502</v>
      </c>
      <c r="P43" s="98">
        <f>IF(P31="","",AVERAGE(P31:P42))</f>
        <v>29.644771954039747</v>
      </c>
      <c r="Q43" s="66">
        <f t="shared" si="25"/>
        <v>6.7577087038915868E-3</v>
      </c>
      <c r="R43" s="70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37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58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P29:Q29"/>
    <mergeCell ref="P9:Q9"/>
    <mergeCell ref="F28:I28"/>
    <mergeCell ref="J28:M28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6:E7"/>
    <mergeCell ref="B3:C3"/>
    <mergeCell ref="B28:E28"/>
    <mergeCell ref="B26:E27"/>
  </mergeCells>
  <phoneticPr fontId="0" type="noConversion"/>
  <conditionalFormatting sqref="S31:S43">
    <cfRule type="expression" dxfId="11" priority="3" stopIfTrue="1">
      <formula>S31&lt;$R31</formula>
    </cfRule>
    <cfRule type="expression" dxfId="10" priority="4" stopIfTrue="1">
      <formula>S31&gt;$R31</formula>
    </cfRule>
  </conditionalFormatting>
  <conditionalFormatting sqref="B14:B21 F12:F22 J12:J22 N12:N22">
    <cfRule type="expression" dxfId="9" priority="5" stopIfTrue="1">
      <formula>C12=""</formula>
    </cfRule>
  </conditionalFormatting>
  <conditionalFormatting sqref="B22 B12:B13">
    <cfRule type="expression" dxfId="8" priority="6" stopIfTrue="1">
      <formula>C12=""</formula>
    </cfRule>
  </conditionalFormatting>
  <conditionalFormatting sqref="S31:S42">
    <cfRule type="expression" dxfId="7" priority="1" stopIfTrue="1">
      <formula>S31&lt;$R31</formula>
    </cfRule>
    <cfRule type="expression" dxfId="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U61"/>
  <sheetViews>
    <sheetView showGridLines="0" workbookViewId="0">
      <selection activeCell="E5" sqref="E5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85546875" style="2" bestFit="1" customWidth="1"/>
    <col min="16" max="17" width="7.140625" style="2" customWidth="1"/>
    <col min="18" max="21" width="3.5703125" style="2" customWidth="1"/>
    <col min="22" max="16384" width="11.42578125" style="2"/>
  </cols>
  <sheetData>
    <row r="1" spans="1:21" ht="80.099999999999994" customHeight="1"/>
    <row r="2" spans="1:21" ht="16.5" customHeight="1">
      <c r="A2" s="100" t="s">
        <v>27</v>
      </c>
      <c r="B2" s="139" t="s">
        <v>51</v>
      </c>
      <c r="C2" s="139"/>
      <c r="D2" s="139"/>
      <c r="E2" s="139"/>
      <c r="Q2" s="95"/>
    </row>
    <row r="3" spans="1:21" ht="13.5" customHeight="1">
      <c r="A3" s="1"/>
      <c r="B3" s="140" t="s">
        <v>20</v>
      </c>
      <c r="C3" s="140"/>
      <c r="D3" s="141" t="s">
        <v>19</v>
      </c>
      <c r="E3" s="141"/>
      <c r="Q3" s="94"/>
      <c r="U3" s="24"/>
    </row>
    <row r="4" spans="1:21" ht="11.25" customHeight="1">
      <c r="A4" s="3"/>
      <c r="B4" s="4"/>
      <c r="C4" s="4"/>
      <c r="D4" s="145" t="s">
        <v>25</v>
      </c>
      <c r="E4" s="14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  <c r="U4" s="24"/>
    </row>
    <row r="5" spans="1:21" ht="5.0999999999999996" customHeight="1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5"/>
      <c r="U5" s="24"/>
    </row>
    <row r="6" spans="1:21" ht="4.5" customHeight="1">
      <c r="U6" s="24"/>
    </row>
    <row r="7" spans="1:21" ht="11.25" customHeight="1">
      <c r="A7" s="7"/>
      <c r="B7" s="134" t="s">
        <v>30</v>
      </c>
      <c r="C7" s="135"/>
      <c r="D7" s="135"/>
      <c r="E7" s="135"/>
      <c r="F7" s="9" t="s">
        <v>32</v>
      </c>
    </row>
    <row r="8" spans="1:21" ht="11.25" customHeight="1" thickBot="1">
      <c r="B8" s="136"/>
      <c r="C8" s="136"/>
      <c r="D8" s="136"/>
      <c r="E8" s="136"/>
      <c r="F8" s="2" t="s">
        <v>33</v>
      </c>
    </row>
    <row r="9" spans="1:21" s="9" customFormat="1" ht="11.25" customHeight="1" thickBot="1">
      <c r="A9" s="8" t="s">
        <v>4</v>
      </c>
      <c r="B9" s="120" t="s">
        <v>0</v>
      </c>
      <c r="C9" s="121"/>
      <c r="D9" s="121"/>
      <c r="E9" s="122"/>
      <c r="F9" s="129" t="s">
        <v>1</v>
      </c>
      <c r="G9" s="130"/>
      <c r="H9" s="130"/>
      <c r="I9" s="131"/>
      <c r="J9" s="137" t="s">
        <v>2</v>
      </c>
      <c r="K9" s="138"/>
      <c r="L9" s="138"/>
      <c r="M9" s="138"/>
      <c r="N9" s="126" t="s">
        <v>3</v>
      </c>
      <c r="O9" s="127"/>
      <c r="P9" s="127"/>
      <c r="Q9" s="128"/>
    </row>
    <row r="10" spans="1:21" s="9" customFormat="1" ht="11.25" customHeight="1">
      <c r="A10" s="10"/>
      <c r="B10" s="50">
        <f>'BON-NS'!B9</f>
        <v>2012</v>
      </c>
      <c r="C10" s="51">
        <f>'BON-NS'!C9</f>
        <v>2013</v>
      </c>
      <c r="D10" s="123" t="s">
        <v>5</v>
      </c>
      <c r="E10" s="125"/>
      <c r="F10" s="50">
        <f>$B$10</f>
        <v>2012</v>
      </c>
      <c r="G10" s="51">
        <f>$C$10</f>
        <v>2013</v>
      </c>
      <c r="H10" s="123" t="s">
        <v>5</v>
      </c>
      <c r="I10" s="125"/>
      <c r="J10" s="50">
        <f>$B$10</f>
        <v>2012</v>
      </c>
      <c r="K10" s="51">
        <f>$C$10</f>
        <v>2013</v>
      </c>
      <c r="L10" s="123" t="s">
        <v>5</v>
      </c>
      <c r="M10" s="124"/>
      <c r="N10" s="50">
        <f>$B$10</f>
        <v>2012</v>
      </c>
      <c r="O10" s="51">
        <f>$C$10</f>
        <v>2013</v>
      </c>
      <c r="P10" s="123" t="s">
        <v>5</v>
      </c>
      <c r="Q10" s="125"/>
    </row>
    <row r="11" spans="1:21" s="9" customFormat="1" ht="11.25" customHeight="1">
      <c r="A11" s="87" t="s">
        <v>24</v>
      </c>
      <c r="B11" s="11">
        <f>$R$44</f>
        <v>253</v>
      </c>
      <c r="C11" s="12">
        <f>$S$44</f>
        <v>252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>
      <c r="A12" s="20" t="s">
        <v>6</v>
      </c>
      <c r="B12" s="38">
        <f>SUM('TTL-NS'!B11,'TTL-SN'!B11)</f>
        <v>65197</v>
      </c>
      <c r="C12" s="47">
        <f>IF('TTL-NS'!C11="","",SUM('TTL-NS'!C11,'TTL-SN'!C11))</f>
        <v>65975</v>
      </c>
      <c r="D12" s="21">
        <f t="shared" ref="D12:D23" si="0">IF(C12="","",C12-B12)</f>
        <v>778</v>
      </c>
      <c r="E12" s="71">
        <f t="shared" ref="E12:E24" si="1">IF(D12="","",D12/B12)</f>
        <v>1.1933064404803902E-2</v>
      </c>
      <c r="F12" s="38">
        <f>SUM('TTL-NS'!F11,'TTL-SN'!F11)</f>
        <v>69381</v>
      </c>
      <c r="G12" s="47">
        <f>IF('TTL-NS'!G11="","",SUM('TTL-NS'!G11,'TTL-SN'!G11))</f>
        <v>70042</v>
      </c>
      <c r="H12" s="21">
        <f t="shared" ref="H12:H23" si="2">IF(G12="","",G12-F12)</f>
        <v>661</v>
      </c>
      <c r="I12" s="71">
        <f t="shared" ref="I12:I24" si="3">IF(H12="","",H12/F12)</f>
        <v>9.5271039621798483E-3</v>
      </c>
      <c r="J12" s="38">
        <f>SUM('TTL-NS'!J11,'TTL-SN'!J11)</f>
        <v>30051</v>
      </c>
      <c r="K12" s="47">
        <f>IF('TTL-NS'!K11="","",SUM('TTL-NS'!K11,'TTL-SN'!K11))</f>
        <v>31790</v>
      </c>
      <c r="L12" s="21">
        <f t="shared" ref="L12:L23" si="4">IF(K12="","",K12-J12)</f>
        <v>1739</v>
      </c>
      <c r="M12" s="71">
        <f t="shared" ref="M12:M24" si="5">IF(L12="","",L12/J12)</f>
        <v>5.786829057269309E-2</v>
      </c>
      <c r="N12" s="38">
        <f>SUM(B12,F12,J12)</f>
        <v>164629</v>
      </c>
      <c r="O12" s="34">
        <f t="shared" ref="O12:O23" si="6">IF(C12="","",SUM(C12,G12,K12))</f>
        <v>167807</v>
      </c>
      <c r="P12" s="21">
        <f t="shared" ref="P12:P23" si="7">IF(O12="","",O12-N12)</f>
        <v>3178</v>
      </c>
      <c r="Q12" s="71">
        <f t="shared" ref="Q12:Q24" si="8">IF(P12="","",P12/N12)</f>
        <v>1.930401083648689E-2</v>
      </c>
    </row>
    <row r="13" spans="1:21" ht="11.25" customHeight="1">
      <c r="A13" s="20" t="s">
        <v>7</v>
      </c>
      <c r="B13" s="38">
        <f>SUM('TTL-NS'!B12,'TTL-SN'!B12)</f>
        <v>67297</v>
      </c>
      <c r="C13" s="47">
        <f>IF('TTL-NS'!C12="","",SUM('TTL-NS'!C12,'TTL-SN'!C12))</f>
        <v>65468</v>
      </c>
      <c r="D13" s="21">
        <f t="shared" si="0"/>
        <v>-1829</v>
      </c>
      <c r="E13" s="71">
        <f t="shared" si="1"/>
        <v>-2.7178031710180246E-2</v>
      </c>
      <c r="F13" s="38">
        <f>SUM('TTL-NS'!F12,'TTL-SN'!F12)</f>
        <v>76403</v>
      </c>
      <c r="G13" s="47">
        <f>IF('TTL-NS'!G12="","",SUM('TTL-NS'!G12,'TTL-SN'!G12))</f>
        <v>67092</v>
      </c>
      <c r="H13" s="21">
        <f t="shared" si="2"/>
        <v>-9311</v>
      </c>
      <c r="I13" s="71">
        <f t="shared" si="3"/>
        <v>-0.12186694239754983</v>
      </c>
      <c r="J13" s="38">
        <f>SUM('TTL-NS'!J12,'TTL-SN'!J12)</f>
        <v>30975</v>
      </c>
      <c r="K13" s="47">
        <f>IF('TTL-NS'!K12="","",SUM('TTL-NS'!K12,'TTL-SN'!K12))</f>
        <v>36421</v>
      </c>
      <c r="L13" s="21">
        <f t="shared" si="4"/>
        <v>5446</v>
      </c>
      <c r="M13" s="71">
        <f t="shared" si="5"/>
        <v>0.17581920903954804</v>
      </c>
      <c r="N13" s="38">
        <f t="shared" ref="N13:N23" si="9">SUM(B13,F13,J13)</f>
        <v>174675</v>
      </c>
      <c r="O13" s="34">
        <f t="shared" si="6"/>
        <v>168981</v>
      </c>
      <c r="P13" s="21">
        <f t="shared" si="7"/>
        <v>-5694</v>
      </c>
      <c r="Q13" s="71">
        <f t="shared" si="8"/>
        <v>-3.2597681408329755E-2</v>
      </c>
    </row>
    <row r="14" spans="1:21" ht="11.25" customHeight="1">
      <c r="A14" s="20" t="s">
        <v>8</v>
      </c>
      <c r="B14" s="40">
        <f>SUM('TTL-NS'!B13,'TTL-SN'!B13)</f>
        <v>77281</v>
      </c>
      <c r="C14" s="48">
        <f>IF('TTL-NS'!C13="","",SUM('TTL-NS'!C13,'TTL-SN'!C13))</f>
        <v>71520</v>
      </c>
      <c r="D14" s="22">
        <f t="shared" si="0"/>
        <v>-5761</v>
      </c>
      <c r="E14" s="72">
        <f t="shared" si="1"/>
        <v>-7.4546136825351633E-2</v>
      </c>
      <c r="F14" s="40">
        <f>SUM('TTL-NS'!F13,'TTL-SN'!F13)</f>
        <v>83706</v>
      </c>
      <c r="G14" s="48">
        <f>IF('TTL-NS'!G13="","",SUM('TTL-NS'!G13,'TTL-SN'!G13))</f>
        <v>72430</v>
      </c>
      <c r="H14" s="22">
        <f t="shared" si="2"/>
        <v>-11276</v>
      </c>
      <c r="I14" s="72">
        <f t="shared" si="3"/>
        <v>-0.13470957876376843</v>
      </c>
      <c r="J14" s="40">
        <f>SUM('TTL-NS'!J13,'TTL-SN'!J13)</f>
        <v>38397</v>
      </c>
      <c r="K14" s="48">
        <f>IF('TTL-NS'!K13="","",SUM('TTL-NS'!K13,'TTL-SN'!K13))</f>
        <v>33817</v>
      </c>
      <c r="L14" s="22">
        <f t="shared" si="4"/>
        <v>-4580</v>
      </c>
      <c r="M14" s="72">
        <f t="shared" si="5"/>
        <v>-0.11928015209521577</v>
      </c>
      <c r="N14" s="40">
        <f t="shared" si="9"/>
        <v>199384</v>
      </c>
      <c r="O14" s="35">
        <f t="shared" si="6"/>
        <v>177767</v>
      </c>
      <c r="P14" s="22">
        <f t="shared" si="7"/>
        <v>-21617</v>
      </c>
      <c r="Q14" s="72">
        <f t="shared" si="8"/>
        <v>-0.10841893030534044</v>
      </c>
    </row>
    <row r="15" spans="1:21" ht="11.25" customHeight="1">
      <c r="A15" s="20" t="s">
        <v>9</v>
      </c>
      <c r="B15" s="38">
        <f>SUM('TTL-NS'!B14,'TTL-SN'!B14)</f>
        <v>68730</v>
      </c>
      <c r="C15" s="47">
        <f>IF('TTL-NS'!C14="","",SUM('TTL-NS'!C14,'TTL-SN'!C14))</f>
        <v>77575</v>
      </c>
      <c r="D15" s="21">
        <f t="shared" si="0"/>
        <v>8845</v>
      </c>
      <c r="E15" s="71">
        <f t="shared" si="1"/>
        <v>0.12869198312236288</v>
      </c>
      <c r="F15" s="38">
        <f>SUM('TTL-NS'!F14,'TTL-SN'!F14)</f>
        <v>66446</v>
      </c>
      <c r="G15" s="47">
        <f>IF('TTL-NS'!G14="","",SUM('TTL-NS'!G14,'TTL-SN'!G14))</f>
        <v>72169</v>
      </c>
      <c r="H15" s="21">
        <f t="shared" si="2"/>
        <v>5723</v>
      </c>
      <c r="I15" s="71">
        <f t="shared" si="3"/>
        <v>8.613009059988562E-2</v>
      </c>
      <c r="J15" s="38">
        <f>SUM('TTL-NS'!J14,'TTL-SN'!J14)</f>
        <v>32625</v>
      </c>
      <c r="K15" s="47">
        <f>IF('TTL-NS'!K14="","",SUM('TTL-NS'!K14,'TTL-SN'!K14))</f>
        <v>38835</v>
      </c>
      <c r="L15" s="21">
        <f t="shared" si="4"/>
        <v>6210</v>
      </c>
      <c r="M15" s="71">
        <f t="shared" si="5"/>
        <v>0.19034482758620688</v>
      </c>
      <c r="N15" s="38">
        <f t="shared" si="9"/>
        <v>167801</v>
      </c>
      <c r="O15" s="34">
        <f t="shared" si="6"/>
        <v>188579</v>
      </c>
      <c r="P15" s="21">
        <f t="shared" si="7"/>
        <v>20778</v>
      </c>
      <c r="Q15" s="71">
        <f t="shared" si="8"/>
        <v>0.1238252453799441</v>
      </c>
    </row>
    <row r="16" spans="1:21" ht="11.25" customHeight="1">
      <c r="A16" s="20" t="s">
        <v>10</v>
      </c>
      <c r="B16" s="38">
        <f>SUM('TTL-NS'!B15,'TTL-SN'!B15)</f>
        <v>70007</v>
      </c>
      <c r="C16" s="47">
        <f>IF('TTL-NS'!C15="","",SUM('TTL-NS'!C15,'TTL-SN'!C15))</f>
        <v>68843</v>
      </c>
      <c r="D16" s="21">
        <f t="shared" si="0"/>
        <v>-1164</v>
      </c>
      <c r="E16" s="71">
        <f t="shared" si="1"/>
        <v>-1.6626908737697659E-2</v>
      </c>
      <c r="F16" s="38">
        <f>SUM('TTL-NS'!F15,'TTL-SN'!F15)</f>
        <v>71700</v>
      </c>
      <c r="G16" s="47">
        <f>IF('TTL-NS'!G15="","",SUM('TTL-NS'!G15,'TTL-SN'!G15))</f>
        <v>70570</v>
      </c>
      <c r="H16" s="21">
        <f t="shared" si="2"/>
        <v>-1130</v>
      </c>
      <c r="I16" s="71">
        <f t="shared" si="3"/>
        <v>-1.5760111576011159E-2</v>
      </c>
      <c r="J16" s="38">
        <f>SUM('TTL-NS'!J15,'TTL-SN'!J15)</f>
        <v>35936</v>
      </c>
      <c r="K16" s="47">
        <f>IF('TTL-NS'!K15="","",SUM('TTL-NS'!K15,'TTL-SN'!K15))</f>
        <v>37047</v>
      </c>
      <c r="L16" s="21">
        <f t="shared" si="4"/>
        <v>1111</v>
      </c>
      <c r="M16" s="71">
        <f t="shared" si="5"/>
        <v>3.0916073018699912E-2</v>
      </c>
      <c r="N16" s="38">
        <f t="shared" si="9"/>
        <v>177643</v>
      </c>
      <c r="O16" s="34">
        <f t="shared" si="6"/>
        <v>176460</v>
      </c>
      <c r="P16" s="21">
        <f t="shared" si="7"/>
        <v>-1183</v>
      </c>
      <c r="Q16" s="71">
        <f t="shared" si="8"/>
        <v>-6.6594236755740449E-3</v>
      </c>
    </row>
    <row r="17" spans="1:21" ht="11.25" customHeight="1">
      <c r="A17" s="20" t="s">
        <v>11</v>
      </c>
      <c r="B17" s="40">
        <f>SUM('TTL-NS'!B16,'TTL-SN'!B16)</f>
        <v>71627</v>
      </c>
      <c r="C17" s="48">
        <f>IF('TTL-NS'!C16="","",SUM('TTL-NS'!C16,'TTL-SN'!C16))</f>
        <v>71480</v>
      </c>
      <c r="D17" s="22">
        <f t="shared" si="0"/>
        <v>-147</v>
      </c>
      <c r="E17" s="72">
        <f t="shared" si="1"/>
        <v>-2.0522987141720303E-3</v>
      </c>
      <c r="F17" s="40">
        <f>SUM('TTL-NS'!F16,'TTL-SN'!F16)</f>
        <v>77938</v>
      </c>
      <c r="G17" s="48">
        <f>IF('TTL-NS'!G16="","",SUM('TTL-NS'!G16,'TTL-SN'!G16))</f>
        <v>69939</v>
      </c>
      <c r="H17" s="22">
        <f t="shared" si="2"/>
        <v>-7999</v>
      </c>
      <c r="I17" s="72">
        <f t="shared" si="3"/>
        <v>-0.10263286201852755</v>
      </c>
      <c r="J17" s="40">
        <f>SUM('TTL-NS'!J16,'TTL-SN'!J16)</f>
        <v>35545</v>
      </c>
      <c r="K17" s="48">
        <f>IF('TTL-NS'!K16="","",SUM('TTL-NS'!K16,'TTL-SN'!K16))</f>
        <v>40041</v>
      </c>
      <c r="L17" s="22">
        <f t="shared" si="4"/>
        <v>4496</v>
      </c>
      <c r="M17" s="72">
        <f t="shared" si="5"/>
        <v>0.12648755099170067</v>
      </c>
      <c r="N17" s="40">
        <f t="shared" si="9"/>
        <v>185110</v>
      </c>
      <c r="O17" s="35">
        <f t="shared" si="6"/>
        <v>181460</v>
      </c>
      <c r="P17" s="22">
        <f t="shared" si="7"/>
        <v>-3650</v>
      </c>
      <c r="Q17" s="72">
        <f t="shared" si="8"/>
        <v>-1.9718005510237155E-2</v>
      </c>
    </row>
    <row r="18" spans="1:21" ht="11.25" customHeight="1">
      <c r="A18" s="20" t="s">
        <v>12</v>
      </c>
      <c r="B18" s="38">
        <f>SUM('TTL-NS'!B17,'TTL-SN'!B17)</f>
        <v>72028</v>
      </c>
      <c r="C18" s="47">
        <f>IF('TTL-NS'!C17="","",SUM('TTL-NS'!C17,'TTL-SN'!C17))</f>
        <v>76708</v>
      </c>
      <c r="D18" s="21">
        <f t="shared" si="0"/>
        <v>4680</v>
      </c>
      <c r="E18" s="71">
        <f t="shared" si="1"/>
        <v>6.4974732048647746E-2</v>
      </c>
      <c r="F18" s="38">
        <f>SUM('TTL-NS'!F17,'TTL-SN'!F17)</f>
        <v>71815</v>
      </c>
      <c r="G18" s="47">
        <f>IF('TTL-NS'!G17="","",SUM('TTL-NS'!G17,'TTL-SN'!G17))</f>
        <v>73086</v>
      </c>
      <c r="H18" s="21">
        <f t="shared" si="2"/>
        <v>1271</v>
      </c>
      <c r="I18" s="71">
        <f t="shared" si="3"/>
        <v>1.7698252454222657E-2</v>
      </c>
      <c r="J18" s="38">
        <f>SUM('TTL-NS'!J17,'TTL-SN'!J17)</f>
        <v>37506</v>
      </c>
      <c r="K18" s="47">
        <f>IF('TTL-NS'!K17="","",SUM('TTL-NS'!K17,'TTL-SN'!K17))</f>
        <v>44042</v>
      </c>
      <c r="L18" s="21">
        <f t="shared" si="4"/>
        <v>6536</v>
      </c>
      <c r="M18" s="71">
        <f t="shared" si="5"/>
        <v>0.17426545086119555</v>
      </c>
      <c r="N18" s="38">
        <f t="shared" si="9"/>
        <v>181349</v>
      </c>
      <c r="O18" s="34">
        <f t="shared" si="6"/>
        <v>193836</v>
      </c>
      <c r="P18" s="21">
        <f t="shared" si="7"/>
        <v>12487</v>
      </c>
      <c r="Q18" s="71">
        <f t="shared" si="8"/>
        <v>6.8856183381215227E-2</v>
      </c>
    </row>
    <row r="19" spans="1:21" ht="11.25" customHeight="1">
      <c r="A19" s="20" t="s">
        <v>13</v>
      </c>
      <c r="B19" s="38">
        <f>SUM('TTL-NS'!B18,'TTL-SN'!B18)</f>
        <v>67262</v>
      </c>
      <c r="C19" s="47">
        <f>IF('TTL-NS'!C18="","",SUM('TTL-NS'!C18,'TTL-SN'!C18))</f>
        <v>64336</v>
      </c>
      <c r="D19" s="21">
        <f t="shared" si="0"/>
        <v>-2926</v>
      </c>
      <c r="E19" s="71">
        <f t="shared" si="1"/>
        <v>-4.350153132526538E-2</v>
      </c>
      <c r="F19" s="38">
        <f>SUM('TTL-NS'!F18,'TTL-SN'!F18)</f>
        <v>58752</v>
      </c>
      <c r="G19" s="47">
        <f>IF('TTL-NS'!G18="","",SUM('TTL-NS'!G18,'TTL-SN'!G18))</f>
        <v>54291</v>
      </c>
      <c r="H19" s="21">
        <f t="shared" si="2"/>
        <v>-4461</v>
      </c>
      <c r="I19" s="71">
        <f t="shared" si="3"/>
        <v>-7.5929330065359471E-2</v>
      </c>
      <c r="J19" s="38">
        <f>SUM('TTL-NS'!J18,'TTL-SN'!J18)</f>
        <v>32095</v>
      </c>
      <c r="K19" s="47">
        <f>IF('TTL-NS'!K18="","",SUM('TTL-NS'!K18,'TTL-SN'!K18))</f>
        <v>35077</v>
      </c>
      <c r="L19" s="21">
        <f t="shared" si="4"/>
        <v>2982</v>
      </c>
      <c r="M19" s="71">
        <f t="shared" si="5"/>
        <v>9.2911668484187568E-2</v>
      </c>
      <c r="N19" s="38">
        <f t="shared" si="9"/>
        <v>158109</v>
      </c>
      <c r="O19" s="34">
        <f t="shared" si="6"/>
        <v>153704</v>
      </c>
      <c r="P19" s="21">
        <f t="shared" si="7"/>
        <v>-4405</v>
      </c>
      <c r="Q19" s="71">
        <f t="shared" si="8"/>
        <v>-2.7860526598738843E-2</v>
      </c>
    </row>
    <row r="20" spans="1:21" ht="11.25" customHeight="1">
      <c r="A20" s="20" t="s">
        <v>14</v>
      </c>
      <c r="B20" s="40">
        <f>SUM('TTL-NS'!B19,'TTL-SN'!B19)</f>
        <v>69242</v>
      </c>
      <c r="C20" s="48">
        <f>IF('TTL-NS'!C19="","",SUM('TTL-NS'!C19,'TTL-SN'!C19))</f>
        <v>73432</v>
      </c>
      <c r="D20" s="22">
        <f t="shared" si="0"/>
        <v>4190</v>
      </c>
      <c r="E20" s="72">
        <f t="shared" si="1"/>
        <v>6.0512405765286964E-2</v>
      </c>
      <c r="F20" s="40">
        <f>SUM('TTL-NS'!F19,'TTL-SN'!F19)</f>
        <v>70381</v>
      </c>
      <c r="G20" s="48">
        <f>IF('TTL-NS'!G19="","",SUM('TTL-NS'!G19,'TTL-SN'!G19))</f>
        <v>69952</v>
      </c>
      <c r="H20" s="22">
        <f t="shared" si="2"/>
        <v>-429</v>
      </c>
      <c r="I20" s="72">
        <f t="shared" si="3"/>
        <v>-6.0953950640087523E-3</v>
      </c>
      <c r="J20" s="40">
        <f>SUM('TTL-NS'!J19,'TTL-SN'!J19)</f>
        <v>35420</v>
      </c>
      <c r="K20" s="48">
        <f>IF('TTL-NS'!K19="","",SUM('TTL-NS'!K19,'TTL-SN'!K19))</f>
        <v>37033</v>
      </c>
      <c r="L20" s="22">
        <f t="shared" si="4"/>
        <v>1613</v>
      </c>
      <c r="M20" s="72">
        <f t="shared" si="5"/>
        <v>4.5539243365330322E-2</v>
      </c>
      <c r="N20" s="40">
        <f t="shared" si="9"/>
        <v>175043</v>
      </c>
      <c r="O20" s="35">
        <f t="shared" si="6"/>
        <v>180417</v>
      </c>
      <c r="P20" s="22">
        <f t="shared" si="7"/>
        <v>5374</v>
      </c>
      <c r="Q20" s="72">
        <f t="shared" si="8"/>
        <v>3.0701027747467764E-2</v>
      </c>
    </row>
    <row r="21" spans="1:21" ht="11.25" customHeight="1">
      <c r="A21" s="20" t="s">
        <v>15</v>
      </c>
      <c r="B21" s="38">
        <f>SUM('TTL-NS'!B20,'TTL-SN'!B20)</f>
        <v>77690</v>
      </c>
      <c r="C21" s="47" t="str">
        <f>IF('TTL-NS'!C20="","",SUM('TTL-NS'!C20,'TTL-SN'!C20))</f>
        <v/>
      </c>
      <c r="D21" s="21" t="str">
        <f t="shared" si="0"/>
        <v/>
      </c>
      <c r="E21" s="71" t="str">
        <f t="shared" si="1"/>
        <v/>
      </c>
      <c r="F21" s="38">
        <f>SUM('TTL-NS'!F20,'TTL-SN'!F20)</f>
        <v>74867</v>
      </c>
      <c r="G21" s="47" t="str">
        <f>IF('TTL-NS'!G20="","",SUM('TTL-NS'!G20,'TTL-SN'!G20))</f>
        <v/>
      </c>
      <c r="H21" s="21" t="str">
        <f t="shared" si="2"/>
        <v/>
      </c>
      <c r="I21" s="71" t="str">
        <f t="shared" si="3"/>
        <v/>
      </c>
      <c r="J21" s="38">
        <f>SUM('TTL-NS'!J20,'TTL-SN'!J20)</f>
        <v>44819</v>
      </c>
      <c r="K21" s="47" t="str">
        <f>IF('TTL-NS'!K20="","",SUM('TTL-NS'!K20,'TTL-SN'!K20))</f>
        <v/>
      </c>
      <c r="L21" s="21" t="str">
        <f t="shared" si="4"/>
        <v/>
      </c>
      <c r="M21" s="71" t="str">
        <f t="shared" si="5"/>
        <v/>
      </c>
      <c r="N21" s="38">
        <f t="shared" si="9"/>
        <v>197376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>
      <c r="A22" s="20" t="s">
        <v>16</v>
      </c>
      <c r="B22" s="38">
        <f>SUM('TTL-NS'!B21,'TTL-SN'!B21)</f>
        <v>72371</v>
      </c>
      <c r="C22" s="47" t="str">
        <f>IF('TTL-NS'!C21="","",SUM('TTL-NS'!C21,'TTL-SN'!C21))</f>
        <v/>
      </c>
      <c r="D22" s="21" t="str">
        <f t="shared" si="0"/>
        <v/>
      </c>
      <c r="E22" s="71" t="str">
        <f t="shared" si="1"/>
        <v/>
      </c>
      <c r="F22" s="38">
        <f>SUM('TTL-NS'!F21,'TTL-SN'!F21)</f>
        <v>71550</v>
      </c>
      <c r="G22" s="47" t="str">
        <f>IF('TTL-NS'!G21="","",SUM('TTL-NS'!G21,'TTL-SN'!G21))</f>
        <v/>
      </c>
      <c r="H22" s="21" t="str">
        <f t="shared" si="2"/>
        <v/>
      </c>
      <c r="I22" s="71" t="str">
        <f t="shared" si="3"/>
        <v/>
      </c>
      <c r="J22" s="38">
        <f>SUM('TTL-NS'!J21,'TTL-SN'!J21)</f>
        <v>37913</v>
      </c>
      <c r="K22" s="47" t="str">
        <f>IF('TTL-NS'!K21="","",SUM('TTL-NS'!K21,'TTL-SN'!K21))</f>
        <v/>
      </c>
      <c r="L22" s="21" t="str">
        <f t="shared" si="4"/>
        <v/>
      </c>
      <c r="M22" s="71" t="str">
        <f t="shared" si="5"/>
        <v/>
      </c>
      <c r="N22" s="38">
        <f t="shared" si="9"/>
        <v>181834</v>
      </c>
      <c r="O22" s="34" t="str">
        <f t="shared" si="6"/>
        <v/>
      </c>
      <c r="P22" s="21" t="str">
        <f t="shared" si="7"/>
        <v/>
      </c>
      <c r="Q22" s="71" t="str">
        <f t="shared" si="8"/>
        <v/>
      </c>
    </row>
    <row r="23" spans="1:21" ht="11.25" customHeight="1" thickBot="1">
      <c r="A23" s="23" t="s">
        <v>17</v>
      </c>
      <c r="B23" s="39">
        <f>SUM('TTL-NS'!B22,'TTL-SN'!B22)</f>
        <v>53433</v>
      </c>
      <c r="C23" s="49" t="str">
        <f>IF('TTL-NS'!C22="","",SUM('TTL-NS'!C22,'TTL-SN'!C22))</f>
        <v/>
      </c>
      <c r="D23" s="21" t="str">
        <f t="shared" si="0"/>
        <v/>
      </c>
      <c r="E23" s="57" t="str">
        <f t="shared" si="1"/>
        <v/>
      </c>
      <c r="F23" s="39">
        <f>SUM('TTL-NS'!F22,'TTL-SN'!F22)</f>
        <v>56561</v>
      </c>
      <c r="G23" s="49" t="str">
        <f>IF('TTL-NS'!G22="","",SUM('TTL-NS'!G22,'TTL-SN'!G22))</f>
        <v/>
      </c>
      <c r="H23" s="21" t="str">
        <f t="shared" si="2"/>
        <v/>
      </c>
      <c r="I23" s="57" t="str">
        <f t="shared" si="3"/>
        <v/>
      </c>
      <c r="J23" s="39">
        <f>SUM('TTL-NS'!J22,'TTL-SN'!J22)</f>
        <v>27360</v>
      </c>
      <c r="K23" s="49" t="str">
        <f>IF('TTL-NS'!K22="","",SUM('TTL-NS'!K22,'TTL-SN'!K22))</f>
        <v/>
      </c>
      <c r="L23" s="21" t="str">
        <f t="shared" si="4"/>
        <v/>
      </c>
      <c r="M23" s="57" t="str">
        <f t="shared" si="5"/>
        <v/>
      </c>
      <c r="N23" s="39">
        <f t="shared" si="9"/>
        <v>137354</v>
      </c>
      <c r="O23" s="36" t="str">
        <f t="shared" si="6"/>
        <v/>
      </c>
      <c r="P23" s="21" t="str">
        <f t="shared" si="7"/>
        <v/>
      </c>
      <c r="Q23" s="57" t="str">
        <f t="shared" si="8"/>
        <v/>
      </c>
    </row>
    <row r="24" spans="1:21" ht="11.25" customHeight="1" thickBot="1">
      <c r="A24" s="44" t="s">
        <v>3</v>
      </c>
      <c r="B24" s="41">
        <f>IF(C25&lt;7,B25,B26)</f>
        <v>628671</v>
      </c>
      <c r="C24" s="42">
        <f>IF(C12="","",SUM(C12:C23))</f>
        <v>635337</v>
      </c>
      <c r="D24" s="43">
        <f>IF(D12="","",SUM(D12:D23))</f>
        <v>6666</v>
      </c>
      <c r="E24" s="64">
        <f t="shared" si="1"/>
        <v>1.0603320337664692E-2</v>
      </c>
      <c r="F24" s="41">
        <f>IF(G25&lt;7,F25,F26)</f>
        <v>646522</v>
      </c>
      <c r="G24" s="42">
        <f>IF(G12="","",SUM(G12:G23))</f>
        <v>619571</v>
      </c>
      <c r="H24" s="43">
        <f>IF(H12="","",SUM(H12:H23))</f>
        <v>-26951</v>
      </c>
      <c r="I24" s="64">
        <f t="shared" si="3"/>
        <v>-4.1686129783673254E-2</v>
      </c>
      <c r="J24" s="41">
        <f>IF(K25&lt;7,J25,J26)</f>
        <v>308550</v>
      </c>
      <c r="K24" s="42">
        <f>IF(K12="","",SUM(K12:K23))</f>
        <v>334103</v>
      </c>
      <c r="L24" s="43">
        <f>IF(L12="","",SUM(L12:L23))</f>
        <v>25553</v>
      </c>
      <c r="M24" s="64">
        <f t="shared" si="5"/>
        <v>8.2816399286987516E-2</v>
      </c>
      <c r="N24" s="41">
        <f>IF(O25&lt;7,N25,N26)</f>
        <v>1583743</v>
      </c>
      <c r="O24" s="42">
        <f>IF(O12="","",SUM(O12:O23))</f>
        <v>1589011</v>
      </c>
      <c r="P24" s="43">
        <f>IF(P12="","",SUM(P12:P23))</f>
        <v>5268</v>
      </c>
      <c r="Q24" s="64">
        <f t="shared" si="8"/>
        <v>3.3262972590881222E-3</v>
      </c>
    </row>
    <row r="25" spans="1:21" ht="11.25" customHeight="1">
      <c r="A25" s="88" t="s">
        <v>28</v>
      </c>
      <c r="B25" s="93" t="str">
        <f>IF(C25=1,B12,IF(C25=2,SUM(B12:B13),IF(C25=3,SUM(B12:B14),IF(C25=4,SUM(B12:B15),IF(C25=5,SUM(B12:B16),IF(C25=6,SUM(B12:B17),""))))))</f>
        <v/>
      </c>
      <c r="C25" s="59">
        <f>COUNTIF(C12:C23,"&gt;0")</f>
        <v>9</v>
      </c>
      <c r="D25" s="59"/>
      <c r="E25" s="60"/>
      <c r="F25" s="93" t="str">
        <f>IF(G25=1,F12,IF(G25=2,SUM(F12:F13),IF(G25=3,SUM(F12:F14),IF(G25=4,SUM(F12:F15),IF(G25=5,SUM(F12:F16),IF(G25=6,SUM(F12:F17),""))))))</f>
        <v/>
      </c>
      <c r="G25" s="59">
        <f>COUNTIF(G12:G23,"&gt;0")</f>
        <v>9</v>
      </c>
      <c r="H25" s="59"/>
      <c r="I25" s="60"/>
      <c r="J25" s="93" t="str">
        <f>IF(K25=1,J12,IF(K25=2,SUM(J12:J13),IF(K25=3,SUM(J12:J14),IF(K25=4,SUM(J12:J15),IF(K25=5,SUM(J12:J16),IF(K25=6,SUM(J12:J17),""))))))</f>
        <v/>
      </c>
      <c r="K25" s="59">
        <f>COUNTIF(K12:K23,"&gt;0")</f>
        <v>9</v>
      </c>
      <c r="L25" s="59"/>
      <c r="M25" s="60"/>
      <c r="N25" s="93" t="str">
        <f>IF(O25=1,N12,IF(O25=2,SUM(N12:N13),IF(O25=3,SUM(N12:N14),IF(O25=4,SUM(N12:N15),IF(O25=5,SUM(N12:N16),IF(O25=6,SUM(N12:N17),""))))))</f>
        <v/>
      </c>
      <c r="O25" s="59">
        <f>COUNTIF(O12:O23,"&gt;0")</f>
        <v>9</v>
      </c>
      <c r="P25" s="24"/>
      <c r="Q25" s="25"/>
    </row>
    <row r="26" spans="1:21" ht="11.25" customHeight="1">
      <c r="B26" s="91">
        <f>IF(C25=7,SUM(B12:B18),IF(C25=8,SUM(B12:B19),IF(C25=9,SUM(B12:B20),IF(C25=10,SUM(B12:B21),IF(C25=11,SUM(B12:B22),SUM(B12:B23))))))</f>
        <v>628671</v>
      </c>
      <c r="F26" s="91">
        <f>IF(G25=7,SUM(F12:F18),IF(G25=8,SUM(F12:F19),IF(G25=9,SUM(F12:F20),IF(G25=10,SUM(F12:F21),IF(G25=11,SUM(F12:F22),SUM(F12:F23))))))</f>
        <v>646522</v>
      </c>
      <c r="J26" s="91">
        <f>IF(K25=7,SUM(J12:J18),IF(K25=8,SUM(J12:J19),IF(K25=9,SUM(J12:J20),IF(K25=10,SUM(J12:J21),IF(K25=11,SUM(J12:J22),SUM(J12:J23))))))</f>
        <v>308550</v>
      </c>
      <c r="N26" s="91">
        <f>IF(O25=7,SUM(N12:N18),IF(O25=8,SUM(N12:N19),IF(O25=9,SUM(N12:N20),IF(O25=10,SUM(N12:N21),IF(O25=11,SUM(N12:N22),SUM(N12:N23))))))</f>
        <v>1583743</v>
      </c>
    </row>
    <row r="27" spans="1:21" ht="11.25" customHeight="1">
      <c r="A27" s="7"/>
      <c r="B27" s="134" t="s">
        <v>22</v>
      </c>
      <c r="C27" s="135"/>
      <c r="D27" s="135"/>
      <c r="E27" s="135"/>
      <c r="F27" s="9" t="s">
        <v>31</v>
      </c>
    </row>
    <row r="28" spans="1:21" ht="11.25" customHeight="1" thickBot="1">
      <c r="B28" s="136"/>
      <c r="C28" s="136"/>
      <c r="D28" s="136"/>
      <c r="E28" s="136"/>
      <c r="F28" s="2" t="s">
        <v>34</v>
      </c>
    </row>
    <row r="29" spans="1:21" ht="11.25" customHeight="1" thickBot="1">
      <c r="A29" s="26" t="s">
        <v>4</v>
      </c>
      <c r="B29" s="120" t="s">
        <v>0</v>
      </c>
      <c r="C29" s="132"/>
      <c r="D29" s="132"/>
      <c r="E29" s="133"/>
      <c r="F29" s="129" t="s">
        <v>1</v>
      </c>
      <c r="G29" s="130"/>
      <c r="H29" s="130"/>
      <c r="I29" s="131"/>
      <c r="J29" s="137" t="s">
        <v>2</v>
      </c>
      <c r="K29" s="138"/>
      <c r="L29" s="138"/>
      <c r="M29" s="138"/>
      <c r="N29" s="126" t="s">
        <v>3</v>
      </c>
      <c r="O29" s="127"/>
      <c r="P29" s="127"/>
      <c r="Q29" s="128"/>
    </row>
    <row r="30" spans="1:21" ht="11.25" customHeight="1" thickBot="1">
      <c r="A30" s="10"/>
      <c r="B30" s="50">
        <f>$B$10</f>
        <v>2012</v>
      </c>
      <c r="C30" s="51">
        <f>$C$10</f>
        <v>2013</v>
      </c>
      <c r="D30" s="123" t="s">
        <v>5</v>
      </c>
      <c r="E30" s="124"/>
      <c r="F30" s="50">
        <f>$B$10</f>
        <v>2012</v>
      </c>
      <c r="G30" s="51">
        <f>$C$10</f>
        <v>2013</v>
      </c>
      <c r="H30" s="123" t="s">
        <v>5</v>
      </c>
      <c r="I30" s="124"/>
      <c r="J30" s="50">
        <f>$B$10</f>
        <v>2012</v>
      </c>
      <c r="K30" s="51">
        <f>$C$10</f>
        <v>2013</v>
      </c>
      <c r="L30" s="123" t="s">
        <v>5</v>
      </c>
      <c r="M30" s="124"/>
      <c r="N30" s="50">
        <f>$B$10</f>
        <v>2012</v>
      </c>
      <c r="O30" s="51">
        <f>$C$10</f>
        <v>2013</v>
      </c>
      <c r="P30" s="123" t="s">
        <v>5</v>
      </c>
      <c r="Q30" s="125"/>
      <c r="R30" s="86" t="str">
        <f>RIGHT(B10,2)</f>
        <v>12</v>
      </c>
      <c r="S30" s="85" t="str">
        <f>RIGHT(C10,2)</f>
        <v>13</v>
      </c>
    </row>
    <row r="31" spans="1:21" ht="11.25" customHeight="1" thickBot="1">
      <c r="A31" s="87" t="s">
        <v>24</v>
      </c>
      <c r="B31" s="11">
        <f>T44</f>
        <v>189</v>
      </c>
      <c r="C31" s="12">
        <f>U44</f>
        <v>188</v>
      </c>
      <c r="D31" s="13"/>
      <c r="E31" s="17"/>
      <c r="F31" s="18"/>
      <c r="G31" s="16"/>
      <c r="H31" s="13"/>
      <c r="I31" s="17"/>
      <c r="J31" s="18"/>
      <c r="K31" s="16"/>
      <c r="L31" s="13"/>
      <c r="M31" s="17"/>
      <c r="N31" s="18"/>
      <c r="O31" s="19"/>
      <c r="P31" s="13"/>
      <c r="Q31" s="14"/>
      <c r="R31" s="146" t="s">
        <v>23</v>
      </c>
      <c r="S31" s="147"/>
    </row>
    <row r="32" spans="1:21" ht="11.25" customHeight="1">
      <c r="A32" s="20" t="s">
        <v>6</v>
      </c>
      <c r="B32" s="78">
        <f t="shared" ref="B32:B43" si="10">IF(C12="","",B12/$R32)</f>
        <v>2963.5</v>
      </c>
      <c r="C32" s="81">
        <f t="shared" ref="C32:C43" si="11">IF(C12="","",C12/$S32)</f>
        <v>2998.8636363636365</v>
      </c>
      <c r="D32" s="77">
        <f t="shared" ref="D32:D43" si="12">IF(C32="","",C32-B32)</f>
        <v>35.363636363636488</v>
      </c>
      <c r="E32" s="73">
        <f t="shared" ref="E32:E44" si="13">IF(C32="","",(C32-B32)/ABS(B32))</f>
        <v>1.1933064404803944E-2</v>
      </c>
      <c r="F32" s="78">
        <f t="shared" ref="F32:F43" si="14">IF(G12="","",F12/$R32)</f>
        <v>3153.681818181818</v>
      </c>
      <c r="G32" s="81">
        <f t="shared" ref="G32:G43" si="15">IF(G12="","",G12/$S32)</f>
        <v>3183.7272727272725</v>
      </c>
      <c r="H32" s="96">
        <f t="shared" ref="H32:H43" si="16">IF(G32="","",G32-F32)</f>
        <v>30.045454545454504</v>
      </c>
      <c r="I32" s="73">
        <f t="shared" ref="I32:I44" si="17">IF(G32="","",(G32-F32)/ABS(F32))</f>
        <v>9.5271039621798344E-3</v>
      </c>
      <c r="J32" s="78">
        <f t="shared" ref="J32:J43" si="18">IF(K12="","",J12/$R32)</f>
        <v>1365.9545454545455</v>
      </c>
      <c r="K32" s="81">
        <f t="shared" ref="K32:K43" si="19">IF(K12="","",K12/$S32)</f>
        <v>1445</v>
      </c>
      <c r="L32" s="96">
        <f t="shared" ref="L32:L43" si="20">IF(K32="","",K32-J32)</f>
        <v>79.045454545454504</v>
      </c>
      <c r="M32" s="73">
        <f t="shared" ref="M32:M44" si="21">IF(K32="","",(K32-J32)/ABS(J32))</f>
        <v>5.7868290572693055E-2</v>
      </c>
      <c r="N32" s="78">
        <f t="shared" ref="N32:N43" si="22">IF(O12="","",N12/$R32)</f>
        <v>7483.136363636364</v>
      </c>
      <c r="O32" s="81">
        <f t="shared" ref="O32:O43" si="23">IF(O12="","",O12/$S32)</f>
        <v>7627.590909090909</v>
      </c>
      <c r="P32" s="96">
        <f t="shared" ref="P32:P43" si="24">IF(O32="","",O32-N32)</f>
        <v>144.45454545454504</v>
      </c>
      <c r="Q32" s="71">
        <f t="shared" ref="Q32:Q44" si="25">IF(O32="","",(O32-N32)/ABS(N32))</f>
        <v>1.9304010836486831E-2</v>
      </c>
      <c r="R32" s="67">
        <v>22</v>
      </c>
      <c r="S32" s="68">
        <v>22</v>
      </c>
      <c r="T32" s="92">
        <f>IF(OR(N32="",N32=0),"",R32)</f>
        <v>22</v>
      </c>
      <c r="U32" s="92">
        <f>IF(OR(O32="",O32=0),"",S32)</f>
        <v>22</v>
      </c>
    </row>
    <row r="33" spans="1:21" ht="11.25" customHeight="1">
      <c r="A33" s="20" t="s">
        <v>7</v>
      </c>
      <c r="B33" s="78">
        <f t="shared" si="10"/>
        <v>3204.6190476190477</v>
      </c>
      <c r="C33" s="81">
        <f t="shared" si="11"/>
        <v>3273.4</v>
      </c>
      <c r="D33" s="77">
        <f t="shared" si="12"/>
        <v>68.780952380952385</v>
      </c>
      <c r="E33" s="73">
        <f t="shared" si="13"/>
        <v>2.1463066704310741E-2</v>
      </c>
      <c r="F33" s="78">
        <f t="shared" si="14"/>
        <v>3638.2380952380954</v>
      </c>
      <c r="G33" s="81">
        <f t="shared" si="15"/>
        <v>3354.6</v>
      </c>
      <c r="H33" s="96">
        <f t="shared" si="16"/>
        <v>-283.6380952380955</v>
      </c>
      <c r="I33" s="73">
        <f t="shared" si="17"/>
        <v>-7.7960289517427395E-2</v>
      </c>
      <c r="J33" s="78">
        <f t="shared" si="18"/>
        <v>1475</v>
      </c>
      <c r="K33" s="81">
        <f t="shared" si="19"/>
        <v>1821.05</v>
      </c>
      <c r="L33" s="96">
        <f t="shared" si="20"/>
        <v>346.04999999999995</v>
      </c>
      <c r="M33" s="73">
        <f t="shared" si="21"/>
        <v>0.23461016949152538</v>
      </c>
      <c r="N33" s="78">
        <f t="shared" si="22"/>
        <v>8317.8571428571431</v>
      </c>
      <c r="O33" s="81">
        <f t="shared" si="23"/>
        <v>8449.0499999999993</v>
      </c>
      <c r="P33" s="96">
        <f t="shared" si="24"/>
        <v>131.19285714285616</v>
      </c>
      <c r="Q33" s="71">
        <f t="shared" si="25"/>
        <v>1.5772434521253639E-2</v>
      </c>
      <c r="R33" s="67">
        <v>21</v>
      </c>
      <c r="S33" s="68">
        <v>20</v>
      </c>
      <c r="T33" s="92">
        <f t="shared" ref="T33:U43" si="26">IF(OR(N33="",N33=0),"",R33)</f>
        <v>21</v>
      </c>
      <c r="U33" s="92">
        <f t="shared" si="26"/>
        <v>20</v>
      </c>
    </row>
    <row r="34" spans="1:21" ht="11.25" customHeight="1">
      <c r="A34" s="20" t="s">
        <v>8</v>
      </c>
      <c r="B34" s="79">
        <f t="shared" si="10"/>
        <v>3512.7727272727275</v>
      </c>
      <c r="C34" s="82">
        <f t="shared" si="11"/>
        <v>3576</v>
      </c>
      <c r="D34" s="84">
        <f t="shared" si="12"/>
        <v>63.227272727272521</v>
      </c>
      <c r="E34" s="74">
        <f t="shared" si="13"/>
        <v>1.7999249492113137E-2</v>
      </c>
      <c r="F34" s="79">
        <f t="shared" si="14"/>
        <v>3804.818181818182</v>
      </c>
      <c r="G34" s="82">
        <f t="shared" si="15"/>
        <v>3621.5</v>
      </c>
      <c r="H34" s="97">
        <f t="shared" si="16"/>
        <v>-183.31818181818198</v>
      </c>
      <c r="I34" s="74">
        <f t="shared" si="17"/>
        <v>-4.8180536640145315E-2</v>
      </c>
      <c r="J34" s="79">
        <f t="shared" si="18"/>
        <v>1745.3181818181818</v>
      </c>
      <c r="K34" s="82">
        <f t="shared" si="19"/>
        <v>1690.85</v>
      </c>
      <c r="L34" s="97">
        <f t="shared" si="20"/>
        <v>-54.468181818181847</v>
      </c>
      <c r="M34" s="74">
        <f t="shared" si="21"/>
        <v>-3.1208167304737366E-2</v>
      </c>
      <c r="N34" s="79">
        <f t="shared" si="22"/>
        <v>9062.9090909090901</v>
      </c>
      <c r="O34" s="82">
        <f t="shared" si="23"/>
        <v>8888.35</v>
      </c>
      <c r="P34" s="97">
        <f t="shared" si="24"/>
        <v>-174.55909090908972</v>
      </c>
      <c r="Q34" s="72">
        <f t="shared" si="25"/>
        <v>-1.9260823335874363E-2</v>
      </c>
      <c r="R34" s="69">
        <v>22</v>
      </c>
      <c r="S34" s="101">
        <v>20</v>
      </c>
      <c r="T34" s="92">
        <f t="shared" si="26"/>
        <v>22</v>
      </c>
      <c r="U34" s="92">
        <f t="shared" si="26"/>
        <v>20</v>
      </c>
    </row>
    <row r="35" spans="1:21" ht="11.25" customHeight="1">
      <c r="A35" s="20" t="s">
        <v>9</v>
      </c>
      <c r="B35" s="78">
        <f t="shared" si="10"/>
        <v>3617.3684210526317</v>
      </c>
      <c r="C35" s="81">
        <f t="shared" si="11"/>
        <v>3694.0476190476193</v>
      </c>
      <c r="D35" s="77">
        <f t="shared" si="12"/>
        <v>76.679197994987589</v>
      </c>
      <c r="E35" s="73">
        <f t="shared" si="13"/>
        <v>2.1197508539280725E-2</v>
      </c>
      <c r="F35" s="78">
        <f t="shared" si="14"/>
        <v>3497.1578947368421</v>
      </c>
      <c r="G35" s="81">
        <f t="shared" si="15"/>
        <v>3436.6190476190477</v>
      </c>
      <c r="H35" s="96">
        <f t="shared" si="16"/>
        <v>-60.538847117794376</v>
      </c>
      <c r="I35" s="73">
        <f t="shared" si="17"/>
        <v>-1.7310870409627262E-2</v>
      </c>
      <c r="J35" s="78">
        <f t="shared" si="18"/>
        <v>1717.1052631578948</v>
      </c>
      <c r="K35" s="81">
        <f t="shared" si="19"/>
        <v>1849.2857142857142</v>
      </c>
      <c r="L35" s="96">
        <f t="shared" si="20"/>
        <v>132.18045112781942</v>
      </c>
      <c r="M35" s="73">
        <f t="shared" si="21"/>
        <v>7.6978653530377597E-2</v>
      </c>
      <c r="N35" s="78">
        <f t="shared" si="22"/>
        <v>8831.6315789473683</v>
      </c>
      <c r="O35" s="81">
        <f t="shared" si="23"/>
        <v>8979.9523809523816</v>
      </c>
      <c r="P35" s="96">
        <f t="shared" si="24"/>
        <v>148.32080200501332</v>
      </c>
      <c r="Q35" s="71">
        <f t="shared" si="25"/>
        <v>1.6794269629473325E-2</v>
      </c>
      <c r="R35" s="67">
        <v>19</v>
      </c>
      <c r="S35" s="68">
        <v>21</v>
      </c>
      <c r="T35" s="92">
        <f t="shared" si="26"/>
        <v>19</v>
      </c>
      <c r="U35" s="92">
        <f t="shared" si="26"/>
        <v>21</v>
      </c>
    </row>
    <row r="36" spans="1:21" ht="11.25" customHeight="1">
      <c r="A36" s="20" t="s">
        <v>10</v>
      </c>
      <c r="B36" s="78">
        <f t="shared" si="10"/>
        <v>3500.35</v>
      </c>
      <c r="C36" s="81">
        <f t="shared" si="11"/>
        <v>3442.15</v>
      </c>
      <c r="D36" s="77">
        <f t="shared" si="12"/>
        <v>-58.199999999999818</v>
      </c>
      <c r="E36" s="73">
        <f t="shared" si="13"/>
        <v>-1.6626908737697607E-2</v>
      </c>
      <c r="F36" s="78">
        <f t="shared" si="14"/>
        <v>3585</v>
      </c>
      <c r="G36" s="81">
        <f t="shared" si="15"/>
        <v>3528.5</v>
      </c>
      <c r="H36" s="96">
        <f t="shared" si="16"/>
        <v>-56.5</v>
      </c>
      <c r="I36" s="73">
        <f t="shared" si="17"/>
        <v>-1.5760111576011159E-2</v>
      </c>
      <c r="J36" s="78">
        <f t="shared" si="18"/>
        <v>1796.8</v>
      </c>
      <c r="K36" s="81">
        <f t="shared" si="19"/>
        <v>1852.35</v>
      </c>
      <c r="L36" s="96">
        <f t="shared" si="20"/>
        <v>55.549999999999955</v>
      </c>
      <c r="M36" s="73">
        <f t="shared" si="21"/>
        <v>3.0916073018699888E-2</v>
      </c>
      <c r="N36" s="78">
        <f t="shared" si="22"/>
        <v>8882.15</v>
      </c>
      <c r="O36" s="81">
        <f t="shared" si="23"/>
        <v>8823</v>
      </c>
      <c r="P36" s="96">
        <f t="shared" si="24"/>
        <v>-59.149999999999636</v>
      </c>
      <c r="Q36" s="71">
        <f t="shared" si="25"/>
        <v>-6.6594236755740041E-3</v>
      </c>
      <c r="R36" s="67">
        <v>20</v>
      </c>
      <c r="S36" s="68">
        <v>20</v>
      </c>
      <c r="T36" s="92">
        <f t="shared" si="26"/>
        <v>20</v>
      </c>
      <c r="U36" s="92">
        <f t="shared" si="26"/>
        <v>20</v>
      </c>
    </row>
    <row r="37" spans="1:21" ht="11.25" customHeight="1">
      <c r="A37" s="20" t="s">
        <v>11</v>
      </c>
      <c r="B37" s="79">
        <f t="shared" si="10"/>
        <v>3410.8095238095239</v>
      </c>
      <c r="C37" s="82">
        <f t="shared" si="11"/>
        <v>3574</v>
      </c>
      <c r="D37" s="84">
        <f t="shared" si="12"/>
        <v>163.19047619047615</v>
      </c>
      <c r="E37" s="74">
        <f t="shared" si="13"/>
        <v>4.7845086350119352E-2</v>
      </c>
      <c r="F37" s="79">
        <f t="shared" si="14"/>
        <v>3711.3333333333335</v>
      </c>
      <c r="G37" s="82">
        <f t="shared" si="15"/>
        <v>3496.95</v>
      </c>
      <c r="H37" s="97">
        <f t="shared" si="16"/>
        <v>-214.38333333333367</v>
      </c>
      <c r="I37" s="74">
        <f t="shared" si="17"/>
        <v>-5.776450511945401E-2</v>
      </c>
      <c r="J37" s="79">
        <f t="shared" si="18"/>
        <v>1692.6190476190477</v>
      </c>
      <c r="K37" s="82">
        <f t="shared" si="19"/>
        <v>2002.05</v>
      </c>
      <c r="L37" s="97">
        <f t="shared" si="20"/>
        <v>309.43095238095225</v>
      </c>
      <c r="M37" s="74">
        <f t="shared" si="21"/>
        <v>0.18281192854128561</v>
      </c>
      <c r="N37" s="79">
        <f t="shared" si="22"/>
        <v>8814.7619047619046</v>
      </c>
      <c r="O37" s="82">
        <f t="shared" si="23"/>
        <v>9073</v>
      </c>
      <c r="P37" s="97">
        <f t="shared" si="24"/>
        <v>258.23809523809541</v>
      </c>
      <c r="Q37" s="72">
        <f t="shared" si="25"/>
        <v>2.9296094214251008E-2</v>
      </c>
      <c r="R37" s="69">
        <v>21</v>
      </c>
      <c r="S37" s="101">
        <v>20</v>
      </c>
      <c r="T37" s="92">
        <f t="shared" si="26"/>
        <v>21</v>
      </c>
      <c r="U37" s="92">
        <f t="shared" si="26"/>
        <v>20</v>
      </c>
    </row>
    <row r="38" spans="1:21" ht="11.25" customHeight="1">
      <c r="A38" s="20" t="s">
        <v>12</v>
      </c>
      <c r="B38" s="78">
        <f t="shared" si="10"/>
        <v>3274</v>
      </c>
      <c r="C38" s="81">
        <f t="shared" si="11"/>
        <v>3335.1304347826085</v>
      </c>
      <c r="D38" s="77">
        <f t="shared" si="12"/>
        <v>61.130434782608518</v>
      </c>
      <c r="E38" s="73">
        <f t="shared" si="13"/>
        <v>1.8671482829141269E-2</v>
      </c>
      <c r="F38" s="78">
        <f t="shared" si="14"/>
        <v>3264.318181818182</v>
      </c>
      <c r="G38" s="81">
        <f t="shared" si="15"/>
        <v>3177.6521739130435</v>
      </c>
      <c r="H38" s="96">
        <f t="shared" si="16"/>
        <v>-86.666007905138486</v>
      </c>
      <c r="I38" s="73">
        <f t="shared" si="17"/>
        <v>-2.6549497652482722E-2</v>
      </c>
      <c r="J38" s="78">
        <f t="shared" si="18"/>
        <v>1704.8181818181818</v>
      </c>
      <c r="K38" s="81">
        <f t="shared" si="19"/>
        <v>1914.8695652173913</v>
      </c>
      <c r="L38" s="96">
        <f t="shared" si="20"/>
        <v>210.0513833992095</v>
      </c>
      <c r="M38" s="73">
        <f t="shared" si="21"/>
        <v>0.12321043125853488</v>
      </c>
      <c r="N38" s="78">
        <f t="shared" si="22"/>
        <v>8243.136363636364</v>
      </c>
      <c r="O38" s="81">
        <f t="shared" si="23"/>
        <v>8427.652173913044</v>
      </c>
      <c r="P38" s="96">
        <f t="shared" si="24"/>
        <v>184.51581027667999</v>
      </c>
      <c r="Q38" s="71">
        <f t="shared" si="25"/>
        <v>2.2384175408118927E-2</v>
      </c>
      <c r="R38" s="67">
        <v>22</v>
      </c>
      <c r="S38" s="68">
        <v>23</v>
      </c>
      <c r="T38" s="92">
        <f t="shared" si="26"/>
        <v>22</v>
      </c>
      <c r="U38" s="92">
        <f t="shared" si="26"/>
        <v>23</v>
      </c>
    </row>
    <row r="39" spans="1:21" ht="11.25" customHeight="1">
      <c r="A39" s="20" t="s">
        <v>13</v>
      </c>
      <c r="B39" s="78">
        <f t="shared" si="10"/>
        <v>3057.3636363636365</v>
      </c>
      <c r="C39" s="81">
        <f t="shared" si="11"/>
        <v>3063.6190476190477</v>
      </c>
      <c r="D39" s="77">
        <f t="shared" si="12"/>
        <v>6.255411255411218</v>
      </c>
      <c r="E39" s="73">
        <f t="shared" si="13"/>
        <v>2.0460148021029228E-3</v>
      </c>
      <c r="F39" s="78">
        <f t="shared" si="14"/>
        <v>2670.5454545454545</v>
      </c>
      <c r="G39" s="81">
        <f t="shared" si="15"/>
        <v>2585.2857142857142</v>
      </c>
      <c r="H39" s="96">
        <f t="shared" si="16"/>
        <v>-85.259740259740283</v>
      </c>
      <c r="I39" s="73">
        <f t="shared" si="17"/>
        <v>-3.1925964830376602E-2</v>
      </c>
      <c r="J39" s="78">
        <f t="shared" si="18"/>
        <v>1458.8636363636363</v>
      </c>
      <c r="K39" s="81">
        <f t="shared" si="19"/>
        <v>1670.3333333333333</v>
      </c>
      <c r="L39" s="96">
        <f t="shared" si="20"/>
        <v>211.469696969697</v>
      </c>
      <c r="M39" s="73">
        <f t="shared" si="21"/>
        <v>0.14495508126914891</v>
      </c>
      <c r="N39" s="78">
        <f t="shared" si="22"/>
        <v>7186.772727272727</v>
      </c>
      <c r="O39" s="81">
        <f t="shared" si="23"/>
        <v>7319.2380952380954</v>
      </c>
      <c r="P39" s="96">
        <f t="shared" si="24"/>
        <v>132.46536796536839</v>
      </c>
      <c r="Q39" s="71">
        <f t="shared" si="25"/>
        <v>1.8431829277511746E-2</v>
      </c>
      <c r="R39" s="67">
        <v>22</v>
      </c>
      <c r="S39" s="68">
        <v>21</v>
      </c>
      <c r="T39" s="92">
        <f t="shared" si="26"/>
        <v>22</v>
      </c>
      <c r="U39" s="92">
        <f t="shared" si="26"/>
        <v>21</v>
      </c>
    </row>
    <row r="40" spans="1:21" ht="11.25" customHeight="1">
      <c r="A40" s="20" t="s">
        <v>14</v>
      </c>
      <c r="B40" s="79">
        <f t="shared" si="10"/>
        <v>3462.1</v>
      </c>
      <c r="C40" s="82">
        <f t="shared" si="11"/>
        <v>3496.7619047619046</v>
      </c>
      <c r="D40" s="84">
        <f t="shared" si="12"/>
        <v>34.66190476190468</v>
      </c>
      <c r="E40" s="74">
        <f t="shared" si="13"/>
        <v>1.001181501455899E-2</v>
      </c>
      <c r="F40" s="79">
        <f t="shared" si="14"/>
        <v>3519.05</v>
      </c>
      <c r="G40" s="82">
        <f t="shared" si="15"/>
        <v>3331.0476190476193</v>
      </c>
      <c r="H40" s="97">
        <f t="shared" si="16"/>
        <v>-188.00238095238092</v>
      </c>
      <c r="I40" s="74">
        <f t="shared" si="17"/>
        <v>-5.3424185775246422E-2</v>
      </c>
      <c r="J40" s="79">
        <f t="shared" si="18"/>
        <v>1771</v>
      </c>
      <c r="K40" s="82">
        <f t="shared" si="19"/>
        <v>1763.4761904761904</v>
      </c>
      <c r="L40" s="97">
        <f t="shared" si="20"/>
        <v>-7.5238095238096321</v>
      </c>
      <c r="M40" s="74">
        <f t="shared" si="21"/>
        <v>-4.2483396520664211E-3</v>
      </c>
      <c r="N40" s="79">
        <f t="shared" si="22"/>
        <v>8752.15</v>
      </c>
      <c r="O40" s="82">
        <f t="shared" si="23"/>
        <v>8591.2857142857138</v>
      </c>
      <c r="P40" s="97">
        <f t="shared" si="24"/>
        <v>-160.86428571428587</v>
      </c>
      <c r="Q40" s="72">
        <f t="shared" si="25"/>
        <v>-1.8379973573840244E-2</v>
      </c>
      <c r="R40" s="69">
        <v>20</v>
      </c>
      <c r="S40" s="101">
        <v>21</v>
      </c>
      <c r="T40" s="92">
        <f t="shared" si="26"/>
        <v>20</v>
      </c>
      <c r="U40" s="92">
        <f t="shared" si="26"/>
        <v>21</v>
      </c>
    </row>
    <row r="41" spans="1:21" ht="11.25" customHeight="1">
      <c r="A41" s="20" t="s">
        <v>15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23</v>
      </c>
      <c r="S41" s="68">
        <v>23</v>
      </c>
      <c r="T41" s="92" t="str">
        <f t="shared" si="26"/>
        <v/>
      </c>
      <c r="U41" s="92" t="str">
        <f t="shared" si="26"/>
        <v/>
      </c>
    </row>
    <row r="42" spans="1:21" ht="11.25" customHeight="1">
      <c r="A42" s="20" t="s">
        <v>16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22</v>
      </c>
      <c r="S42" s="68">
        <v>21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20" t="s">
        <v>17</v>
      </c>
      <c r="B43" s="78" t="str">
        <f t="shared" si="10"/>
        <v/>
      </c>
      <c r="C43" s="81" t="str">
        <f t="shared" si="11"/>
        <v/>
      </c>
      <c r="D43" s="77" t="str">
        <f t="shared" si="12"/>
        <v/>
      </c>
      <c r="E43" s="73" t="str">
        <f t="shared" si="13"/>
        <v/>
      </c>
      <c r="F43" s="78" t="str">
        <f t="shared" si="14"/>
        <v/>
      </c>
      <c r="G43" s="81" t="str">
        <f t="shared" si="15"/>
        <v/>
      </c>
      <c r="H43" s="96" t="str">
        <f t="shared" si="16"/>
        <v/>
      </c>
      <c r="I43" s="73" t="str">
        <f t="shared" si="17"/>
        <v/>
      </c>
      <c r="J43" s="78" t="str">
        <f t="shared" si="18"/>
        <v/>
      </c>
      <c r="K43" s="81" t="str">
        <f t="shared" si="19"/>
        <v/>
      </c>
      <c r="L43" s="96" t="str">
        <f t="shared" si="20"/>
        <v/>
      </c>
      <c r="M43" s="73" t="str">
        <f t="shared" si="21"/>
        <v/>
      </c>
      <c r="N43" s="78" t="str">
        <f t="shared" si="22"/>
        <v/>
      </c>
      <c r="O43" s="81" t="str">
        <f t="shared" si="23"/>
        <v/>
      </c>
      <c r="P43" s="96" t="str">
        <f t="shared" si="24"/>
        <v/>
      </c>
      <c r="Q43" s="71" t="str">
        <f t="shared" si="25"/>
        <v/>
      </c>
      <c r="R43" s="67">
        <v>19</v>
      </c>
      <c r="S43" s="68">
        <v>20</v>
      </c>
      <c r="T43" s="92" t="str">
        <f t="shared" si="26"/>
        <v/>
      </c>
      <c r="U43" s="92" t="str">
        <f t="shared" si="26"/>
        <v/>
      </c>
    </row>
    <row r="44" spans="1:21" ht="11.25" customHeight="1" thickBot="1">
      <c r="A44" s="90" t="s">
        <v>29</v>
      </c>
      <c r="B44" s="80">
        <f>AVERAGE(B32:B43)</f>
        <v>3333.653706235285</v>
      </c>
      <c r="C44" s="83">
        <f>IF(C12="","",AVERAGE(C32:C43))</f>
        <v>3383.7747380638689</v>
      </c>
      <c r="D44" s="75">
        <f>IF(D32="","",AVERAGE(D32:D43))</f>
        <v>50.121031828583305</v>
      </c>
      <c r="E44" s="65">
        <f t="shared" si="13"/>
        <v>1.5034864519622193E-2</v>
      </c>
      <c r="F44" s="80">
        <f>AVERAGE(F32:F43)</f>
        <v>3427.1269955191005</v>
      </c>
      <c r="G44" s="83">
        <f>IF(G12="","",AVERAGE(G32:G43))</f>
        <v>3301.7646475102997</v>
      </c>
      <c r="H44" s="98">
        <f>IF(H32="","",AVERAGE(H32:H43))</f>
        <v>-125.36234800880119</v>
      </c>
      <c r="I44" s="65">
        <f t="shared" si="17"/>
        <v>-3.6579428825575938E-2</v>
      </c>
      <c r="J44" s="80">
        <f>AVERAGE(J32:J43)</f>
        <v>1636.3865395812763</v>
      </c>
      <c r="K44" s="83">
        <f>IF(K12="","",AVERAGE(K32:K43))</f>
        <v>1778.80720036807</v>
      </c>
      <c r="L44" s="98">
        <f>IF(L32="","",AVERAGE(L32:L43))</f>
        <v>142.42066078679346</v>
      </c>
      <c r="M44" s="65">
        <f t="shared" si="21"/>
        <v>8.703363010015755E-2</v>
      </c>
      <c r="N44" s="80">
        <f>AVERAGE(N32:N43)</f>
        <v>8397.1672413356628</v>
      </c>
      <c r="O44" s="83">
        <f>IF(O12="","",AVERAGE(O32:O43))</f>
        <v>8464.3465859422358</v>
      </c>
      <c r="P44" s="98">
        <f>IF(P32="","",AVERAGE(P32:P43))</f>
        <v>67.179344606575896</v>
      </c>
      <c r="Q44" s="66">
        <f t="shared" si="25"/>
        <v>8.0002389705754445E-3</v>
      </c>
      <c r="R44" s="70">
        <f>SUM(R32:R43)</f>
        <v>253</v>
      </c>
      <c r="S44" s="102">
        <f>SUM(S32:S43)</f>
        <v>252</v>
      </c>
      <c r="T44" s="92">
        <f>SUM(T32:T43)</f>
        <v>189</v>
      </c>
      <c r="U44" s="91">
        <f>SUM(U32:U43)</f>
        <v>188</v>
      </c>
    </row>
    <row r="45" spans="1:21" s="30" customFormat="1" ht="11.25" customHeight="1">
      <c r="A45" s="89" t="s">
        <v>28</v>
      </c>
      <c r="B45" s="37"/>
      <c r="C45" s="61">
        <f>COUNTIF(C32:C43,"&gt;0")</f>
        <v>9</v>
      </c>
      <c r="D45" s="62"/>
      <c r="E45" s="63"/>
      <c r="F45" s="61"/>
      <c r="G45" s="61">
        <f>COUNTIF(G32:G43,"&gt;0")</f>
        <v>9</v>
      </c>
      <c r="H45" s="62"/>
      <c r="I45" s="63"/>
      <c r="J45" s="61"/>
      <c r="K45" s="61">
        <f>COUNTIF(K32:K43,"&gt;0")</f>
        <v>9</v>
      </c>
      <c r="L45" s="62"/>
      <c r="M45" s="63"/>
      <c r="N45" s="61"/>
      <c r="O45" s="61">
        <f>COUNTIF(O32:O43,"&gt;0")</f>
        <v>9</v>
      </c>
      <c r="P45" s="28"/>
      <c r="Q45" s="58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password="CFDB" sheet="1" objects="1" scenarios="1"/>
  <mergeCells count="23">
    <mergeCell ref="J29:M29"/>
    <mergeCell ref="B7:E8"/>
    <mergeCell ref="B27:E28"/>
    <mergeCell ref="B2:E2"/>
    <mergeCell ref="D3:E3"/>
    <mergeCell ref="D4:E4"/>
    <mergeCell ref="B3:C3"/>
    <mergeCell ref="N29:Q29"/>
    <mergeCell ref="R31:S31"/>
    <mergeCell ref="B9:E9"/>
    <mergeCell ref="D30:E30"/>
    <mergeCell ref="H30:I30"/>
    <mergeCell ref="L30:M30"/>
    <mergeCell ref="P30:Q30"/>
    <mergeCell ref="D10:E10"/>
    <mergeCell ref="H10:I10"/>
    <mergeCell ref="L10:M10"/>
    <mergeCell ref="P10:Q10"/>
    <mergeCell ref="F9:I9"/>
    <mergeCell ref="J9:M9"/>
    <mergeCell ref="N9:Q9"/>
    <mergeCell ref="B29:E29"/>
    <mergeCell ref="F29:I29"/>
  </mergeCells>
  <phoneticPr fontId="0" type="noConversion"/>
  <conditionalFormatting sqref="S32:S44">
    <cfRule type="expression" dxfId="5" priority="3" stopIfTrue="1">
      <formula>S32&lt;$R32</formula>
    </cfRule>
    <cfRule type="expression" dxfId="4" priority="4" stopIfTrue="1">
      <formula>S32&gt;$R32</formula>
    </cfRule>
  </conditionalFormatting>
  <conditionalFormatting sqref="B15:B22 F13:F23 J13:J23 N13:N23">
    <cfRule type="expression" dxfId="3" priority="5" stopIfTrue="1">
      <formula>C13=""</formula>
    </cfRule>
  </conditionalFormatting>
  <conditionalFormatting sqref="B23 B13:B14">
    <cfRule type="expression" dxfId="2" priority="6" stopIfTrue="1">
      <formula>C13=""</formula>
    </cfRule>
  </conditionalFormatting>
  <conditionalFormatting sqref="S32:S43">
    <cfRule type="expression" dxfId="1" priority="1" stopIfTrue="1">
      <formula>S32&lt;$R32</formula>
    </cfRule>
    <cfRule type="expression" dxfId="0" priority="2" stopIfTrue="1">
      <formula>S32&gt;$R32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AK61"/>
  <sheetViews>
    <sheetView view="pageLayout" topLeftCell="N4" workbookViewId="0">
      <selection activeCell="A63" sqref="A63"/>
    </sheetView>
  </sheetViews>
  <sheetFormatPr baseColWidth="10" defaultRowHeight="12.75"/>
  <cols>
    <col min="1" max="5" width="5.140625" customWidth="1"/>
    <col min="6" max="6" width="3.85546875" customWidth="1"/>
    <col min="7" max="11" width="5.140625" customWidth="1"/>
    <col min="12" max="14" width="3.85546875" customWidth="1"/>
    <col min="15" max="19" width="5.140625" customWidth="1"/>
    <col min="20" max="20" width="3.85546875" customWidth="1"/>
    <col min="21" max="41" width="5.140625" customWidth="1"/>
  </cols>
  <sheetData>
    <row r="1" spans="3:29">
      <c r="C1" t="s">
        <v>57</v>
      </c>
      <c r="Q1" t="s">
        <v>59</v>
      </c>
      <c r="AC1" t="s">
        <v>63</v>
      </c>
    </row>
    <row r="23" spans="3:29">
      <c r="C23" t="s">
        <v>58</v>
      </c>
      <c r="Q23" t="s">
        <v>60</v>
      </c>
      <c r="AC23" t="s">
        <v>64</v>
      </c>
    </row>
    <row r="47" spans="1:37">
      <c r="A47" s="110"/>
      <c r="B47" s="108" t="s">
        <v>50</v>
      </c>
      <c r="C47" s="108" t="s">
        <v>52</v>
      </c>
      <c r="D47" s="109" t="s">
        <v>35</v>
      </c>
      <c r="E47" s="108" t="s">
        <v>48</v>
      </c>
      <c r="G47" s="112"/>
      <c r="H47" s="113" t="s">
        <v>50</v>
      </c>
      <c r="I47" s="113" t="s">
        <v>52</v>
      </c>
      <c r="J47" s="114" t="s">
        <v>35</v>
      </c>
      <c r="K47" s="114" t="s">
        <v>48</v>
      </c>
      <c r="O47" s="110"/>
      <c r="P47" s="108" t="s">
        <v>50</v>
      </c>
      <c r="Q47" s="108" t="s">
        <v>52</v>
      </c>
      <c r="R47" s="109" t="s">
        <v>35</v>
      </c>
      <c r="S47" s="109" t="s">
        <v>48</v>
      </c>
      <c r="U47" s="112"/>
      <c r="V47" s="113" t="s">
        <v>50</v>
      </c>
      <c r="W47" s="113" t="s">
        <v>52</v>
      </c>
      <c r="X47" s="114" t="s">
        <v>35</v>
      </c>
      <c r="Y47" s="114" t="s">
        <v>48</v>
      </c>
      <c r="AA47" s="110"/>
      <c r="AB47" s="108" t="s">
        <v>50</v>
      </c>
      <c r="AC47" s="108" t="s">
        <v>52</v>
      </c>
      <c r="AD47" s="109" t="s">
        <v>35</v>
      </c>
      <c r="AE47" s="109" t="s">
        <v>48</v>
      </c>
      <c r="AG47" s="112"/>
      <c r="AH47" s="113" t="s">
        <v>50</v>
      </c>
      <c r="AI47" s="113" t="s">
        <v>52</v>
      </c>
      <c r="AJ47" s="114" t="s">
        <v>35</v>
      </c>
      <c r="AK47" s="114" t="s">
        <v>48</v>
      </c>
    </row>
    <row r="48" spans="1:37">
      <c r="A48" s="107" t="s">
        <v>36</v>
      </c>
      <c r="B48" s="103">
        <f>'BON-NS'!$C31</f>
        <v>58.68181818181818</v>
      </c>
      <c r="C48" s="103">
        <f>'BSL-NS'!$C31</f>
        <v>549.31818181818187</v>
      </c>
      <c r="D48" s="103">
        <f>'BWA-NS'!$C31</f>
        <v>681.86363636363637</v>
      </c>
      <c r="E48" s="103">
        <f>'RFA-NS'!$C31</f>
        <v>458.18181818181819</v>
      </c>
      <c r="G48" s="107" t="s">
        <v>36</v>
      </c>
      <c r="H48" s="105">
        <f>'BON-SN'!$C31</f>
        <v>24.272727272727273</v>
      </c>
      <c r="I48" s="105">
        <f>'BSL-SN'!$C31</f>
        <v>147.72727272727272</v>
      </c>
      <c r="J48" s="105">
        <f>'BWA-SN'!$C31</f>
        <v>724.40909090909088</v>
      </c>
      <c r="K48" s="105">
        <f>'RFA-SN'!$C31</f>
        <v>354.40909090909093</v>
      </c>
      <c r="O48" s="107" t="s">
        <v>36</v>
      </c>
      <c r="P48" s="105">
        <f>'BON-NS'!G31</f>
        <v>26.181818181818183</v>
      </c>
      <c r="Q48" s="104">
        <f>'BSL-NS'!G31</f>
        <v>784.27272727272725</v>
      </c>
      <c r="R48" s="104">
        <f>'BWA-NS'!G31</f>
        <v>562.5454545454545</v>
      </c>
      <c r="S48">
        <f>'RFA-NS'!G31</f>
        <v>297.09090909090907</v>
      </c>
      <c r="U48" s="107" t="s">
        <v>36</v>
      </c>
      <c r="V48" s="104">
        <f>'BON-SN'!G31</f>
        <v>6.9545454545454541</v>
      </c>
      <c r="W48" s="104">
        <f>'BSL-SN'!G31</f>
        <v>761.40909090909088</v>
      </c>
      <c r="X48" s="104">
        <f>'BWA-SN'!G31</f>
        <v>469</v>
      </c>
      <c r="Y48" s="104">
        <f>'RFA-SN'!G31</f>
        <v>276.27272727272725</v>
      </c>
      <c r="AA48" s="107" t="s">
        <v>36</v>
      </c>
      <c r="AB48" s="104">
        <f>'BON-NS'!K31</f>
        <v>7.0909090909090908</v>
      </c>
      <c r="AC48" s="104">
        <f>'BSL-NS'!K31</f>
        <v>102.22727272727273</v>
      </c>
      <c r="AD48" s="104">
        <f>'BWA-NS'!K31</f>
        <v>103.36363636363636</v>
      </c>
      <c r="AE48" s="104">
        <f>'RFA-NS'!K31</f>
        <v>69.090909090909093</v>
      </c>
      <c r="AG48" s="107" t="s">
        <v>36</v>
      </c>
      <c r="AH48" s="104">
        <f>'BON-SN'!K31</f>
        <v>37.31818181818182</v>
      </c>
      <c r="AI48" s="104">
        <f>'BSL-SN'!K31</f>
        <v>310.90909090909093</v>
      </c>
      <c r="AJ48" s="104">
        <f>'BWA-SN'!K31</f>
        <v>492</v>
      </c>
      <c r="AK48" s="104">
        <f>'RFA-SN'!K31</f>
        <v>323</v>
      </c>
    </row>
    <row r="49" spans="1:37">
      <c r="A49" s="107" t="s">
        <v>37</v>
      </c>
      <c r="B49" s="103">
        <f>'BON-NS'!$C32</f>
        <v>78.650000000000006</v>
      </c>
      <c r="C49" s="103">
        <f>'BSL-NS'!$C32</f>
        <v>581.35</v>
      </c>
      <c r="D49" s="103">
        <f>'BWA-NS'!$C32</f>
        <v>799.4</v>
      </c>
      <c r="E49" s="103">
        <f>'RFA-NS'!$C32</f>
        <v>488.95</v>
      </c>
      <c r="G49" s="107" t="s">
        <v>37</v>
      </c>
      <c r="H49" s="105">
        <f>'BON-SN'!$C32</f>
        <v>24.75</v>
      </c>
      <c r="I49" s="105">
        <f>'BSL-SN'!$C32</f>
        <v>168.7</v>
      </c>
      <c r="J49" s="105">
        <f>'BWA-SN'!$C32</f>
        <v>752.25</v>
      </c>
      <c r="K49" s="105">
        <f>'RFA-SN'!$C32</f>
        <v>379.35</v>
      </c>
      <c r="O49" s="107" t="s">
        <v>37</v>
      </c>
      <c r="P49" s="105">
        <f>'BON-NS'!G32</f>
        <v>30.8</v>
      </c>
      <c r="Q49" s="104">
        <f>'BSL-NS'!G32</f>
        <v>790.7</v>
      </c>
      <c r="R49" s="104">
        <f>'BWA-NS'!G32</f>
        <v>655.15</v>
      </c>
      <c r="S49">
        <f>'RFA-NS'!G32</f>
        <v>290.7</v>
      </c>
      <c r="U49" s="107" t="s">
        <v>37</v>
      </c>
      <c r="V49" s="104">
        <f>'BON-SN'!G32</f>
        <v>7.9</v>
      </c>
      <c r="W49" s="104">
        <f>'BSL-SN'!G32</f>
        <v>790.15</v>
      </c>
      <c r="X49" s="104">
        <f>'BWA-SN'!G32</f>
        <v>496.9</v>
      </c>
      <c r="Y49" s="104">
        <f>'RFA-SN'!G32</f>
        <v>292.3</v>
      </c>
      <c r="AA49" s="107" t="s">
        <v>37</v>
      </c>
      <c r="AB49" s="104">
        <f>'BON-NS'!K32</f>
        <v>8.3000000000000007</v>
      </c>
      <c r="AC49" s="104">
        <f>'BSL-NS'!K32</f>
        <v>102.7</v>
      </c>
      <c r="AD49" s="104">
        <f>'BWA-NS'!K32</f>
        <v>119.8</v>
      </c>
      <c r="AE49" s="104">
        <f>'RFA-NS'!K32</f>
        <v>31.9</v>
      </c>
      <c r="AG49" s="107" t="s">
        <v>37</v>
      </c>
      <c r="AH49" s="104">
        <f>'BON-SN'!K32</f>
        <v>48.75</v>
      </c>
      <c r="AI49" s="104">
        <f>'BSL-SN'!K32</f>
        <v>343.25</v>
      </c>
      <c r="AJ49" s="104">
        <f>'BWA-SN'!K32</f>
        <v>796.25</v>
      </c>
      <c r="AK49" s="104">
        <f>'RFA-SN'!K32</f>
        <v>370.1</v>
      </c>
    </row>
    <row r="50" spans="1:37">
      <c r="A50" s="107" t="s">
        <v>38</v>
      </c>
      <c r="B50" s="103">
        <f>'BON-NS'!$C33</f>
        <v>114</v>
      </c>
      <c r="C50" s="103">
        <f>'BSL-NS'!$C33</f>
        <v>618.54999999999995</v>
      </c>
      <c r="D50" s="103">
        <f>'BWA-NS'!$C33</f>
        <v>865.05</v>
      </c>
      <c r="E50" s="103">
        <f>'RFA-NS'!$C33</f>
        <v>520.15</v>
      </c>
      <c r="G50" s="107" t="s">
        <v>38</v>
      </c>
      <c r="H50" s="105">
        <f>'BON-SN'!$C33</f>
        <v>29.8</v>
      </c>
      <c r="I50" s="105">
        <f>'BSL-SN'!$C33</f>
        <v>177</v>
      </c>
      <c r="J50" s="105">
        <f>'BWA-SN'!$C33</f>
        <v>858.1</v>
      </c>
      <c r="K50" s="105">
        <f>'RFA-SN'!$C33</f>
        <v>393.35</v>
      </c>
      <c r="O50" s="107" t="s">
        <v>38</v>
      </c>
      <c r="P50" s="105">
        <f>'BON-NS'!G33</f>
        <v>29.65</v>
      </c>
      <c r="Q50" s="104">
        <f>'BSL-NS'!G33</f>
        <v>829.45</v>
      </c>
      <c r="R50" s="104">
        <f>'BWA-NS'!G33</f>
        <v>714.9</v>
      </c>
      <c r="S50">
        <f>'RFA-NS'!G33</f>
        <v>316.39999999999998</v>
      </c>
      <c r="U50" s="107" t="s">
        <v>38</v>
      </c>
      <c r="V50" s="104">
        <f>'BON-SN'!G33</f>
        <v>8.9499999999999993</v>
      </c>
      <c r="W50" s="104">
        <f>'BSL-SN'!G33</f>
        <v>852.1</v>
      </c>
      <c r="X50" s="104">
        <f>'BWA-SN'!G33</f>
        <v>550.45000000000005</v>
      </c>
      <c r="Y50" s="104">
        <f>'RFA-SN'!G33</f>
        <v>319.60000000000002</v>
      </c>
      <c r="AA50" s="107" t="s">
        <v>38</v>
      </c>
      <c r="AB50" s="104">
        <f>'BON-NS'!K33</f>
        <v>7.55</v>
      </c>
      <c r="AC50" s="104">
        <f>'BSL-NS'!K33</f>
        <v>102.65</v>
      </c>
      <c r="AD50" s="104">
        <f>'BWA-NS'!K33</f>
        <v>130</v>
      </c>
      <c r="AE50" s="104">
        <f>'RFA-NS'!K33</f>
        <v>21.65</v>
      </c>
      <c r="AG50" s="107" t="s">
        <v>38</v>
      </c>
      <c r="AH50" s="104">
        <f>'BON-SN'!K33</f>
        <v>64</v>
      </c>
      <c r="AI50" s="104">
        <f>'BSL-SN'!K33</f>
        <v>352.65</v>
      </c>
      <c r="AJ50" s="104">
        <f>'BWA-SN'!K33</f>
        <v>583.25</v>
      </c>
      <c r="AK50" s="104">
        <f>'RFA-SN'!K33</f>
        <v>429.1</v>
      </c>
    </row>
    <row r="51" spans="1:37">
      <c r="A51" s="107" t="s">
        <v>39</v>
      </c>
      <c r="B51" s="103">
        <f>'BON-NS'!$C34</f>
        <v>120.28571428571429</v>
      </c>
      <c r="C51" s="103">
        <f>'BSL-NS'!$C34</f>
        <v>631.33333333333337</v>
      </c>
      <c r="D51" s="103">
        <f>'BWA-NS'!$C34</f>
        <v>910.80952380952385</v>
      </c>
      <c r="E51" s="103">
        <f>'RFA-NS'!$C34</f>
        <v>564.38095238095241</v>
      </c>
      <c r="G51" s="107" t="s">
        <v>39</v>
      </c>
      <c r="H51" s="105">
        <f>'BON-SN'!$C34</f>
        <v>31.714285714285715</v>
      </c>
      <c r="I51" s="105">
        <f>'BSL-SN'!$C34</f>
        <v>180.33333333333334</v>
      </c>
      <c r="J51" s="105">
        <f>'BWA-SN'!$C34</f>
        <v>846.80952380952385</v>
      </c>
      <c r="K51" s="105">
        <f>'RFA-SN'!$C34</f>
        <v>408.38095238095241</v>
      </c>
      <c r="O51" s="107" t="s">
        <v>39</v>
      </c>
      <c r="P51" s="105">
        <f>'BON-NS'!G34</f>
        <v>40</v>
      </c>
      <c r="Q51" s="104">
        <f>'BSL-NS'!G34</f>
        <v>775.19047619047615</v>
      </c>
      <c r="R51" s="104">
        <f>'BWA-NS'!G34</f>
        <v>705</v>
      </c>
      <c r="S51">
        <f>'RFA-NS'!G34</f>
        <v>286.76190476190476</v>
      </c>
      <c r="U51" s="107" t="s">
        <v>39</v>
      </c>
      <c r="V51" s="104">
        <f>'BON-SN'!G34</f>
        <v>8</v>
      </c>
      <c r="W51" s="104">
        <f>'BSL-SN'!G34</f>
        <v>831.04761904761904</v>
      </c>
      <c r="X51" s="104">
        <f>'BWA-SN'!G34</f>
        <v>489.61904761904759</v>
      </c>
      <c r="Y51" s="104">
        <f>'RFA-SN'!G34</f>
        <v>301</v>
      </c>
      <c r="AA51" s="107" t="s">
        <v>39</v>
      </c>
      <c r="AB51" s="104">
        <f>'BON-NS'!K34</f>
        <v>8.8571428571428577</v>
      </c>
      <c r="AC51" s="104">
        <f>'BSL-NS'!K34</f>
        <v>101.95238095238095</v>
      </c>
      <c r="AD51" s="104">
        <f>'BWA-NS'!K34</f>
        <v>133.28571428571428</v>
      </c>
      <c r="AE51" s="104">
        <f>'RFA-NS'!K34</f>
        <v>53.428571428571431</v>
      </c>
      <c r="AG51" s="107" t="s">
        <v>39</v>
      </c>
      <c r="AH51" s="104">
        <f>'BON-SN'!K34</f>
        <v>59.333333333333336</v>
      </c>
      <c r="AI51" s="104">
        <f>'BSL-SN'!K34</f>
        <v>365.33333333333331</v>
      </c>
      <c r="AJ51" s="104">
        <f>'BWA-SN'!K34</f>
        <v>660.28571428571433</v>
      </c>
      <c r="AK51" s="104">
        <f>'RFA-SN'!K34</f>
        <v>466.8095238095238</v>
      </c>
    </row>
    <row r="52" spans="1:37">
      <c r="A52" s="107" t="s">
        <v>10</v>
      </c>
      <c r="B52" s="103">
        <f>'BON-NS'!$C35</f>
        <v>104.85</v>
      </c>
      <c r="C52" s="103">
        <f>'BSL-NS'!$C35</f>
        <v>576.85</v>
      </c>
      <c r="D52" s="103">
        <f>'BWA-NS'!$C35</f>
        <v>872.85</v>
      </c>
      <c r="E52" s="103">
        <f>'RFA-NS'!$C35</f>
        <v>499.3</v>
      </c>
      <c r="G52" s="107" t="s">
        <v>10</v>
      </c>
      <c r="H52" s="105">
        <f>'BON-SN'!$C35</f>
        <v>33</v>
      </c>
      <c r="I52" s="105">
        <f>'BSL-SN'!$C35</f>
        <v>172.25</v>
      </c>
      <c r="J52" s="105">
        <f>'BWA-SN'!$C35</f>
        <v>797.85</v>
      </c>
      <c r="K52" s="105">
        <f>'RFA-SN'!$C35</f>
        <v>385.2</v>
      </c>
      <c r="O52" s="107" t="s">
        <v>10</v>
      </c>
      <c r="P52" s="105">
        <f>'BON-NS'!G35</f>
        <v>40.950000000000003</v>
      </c>
      <c r="Q52" s="104">
        <f>'BSL-NS'!G35</f>
        <v>787.05</v>
      </c>
      <c r="R52" s="104">
        <f>'BWA-NS'!G35</f>
        <v>746.35</v>
      </c>
      <c r="S52">
        <f>'RFA-NS'!G35</f>
        <v>270.10000000000002</v>
      </c>
      <c r="U52" s="107" t="s">
        <v>10</v>
      </c>
      <c r="V52" s="104">
        <f>'BON-SN'!G35</f>
        <v>6.75</v>
      </c>
      <c r="W52" s="104">
        <f>'BSL-SN'!G35</f>
        <v>872.85</v>
      </c>
      <c r="X52" s="104">
        <f>'BWA-SN'!G35</f>
        <v>507.5</v>
      </c>
      <c r="Y52" s="104">
        <f>'RFA-SN'!G35</f>
        <v>296.95</v>
      </c>
      <c r="AA52" s="107" t="s">
        <v>10</v>
      </c>
      <c r="AB52" s="104">
        <f>'BON-NS'!K35</f>
        <v>9.1999999999999993</v>
      </c>
      <c r="AC52" s="104">
        <f>'BSL-NS'!K35</f>
        <v>108.05</v>
      </c>
      <c r="AD52" s="104">
        <f>'BWA-NS'!K35</f>
        <v>170.25</v>
      </c>
      <c r="AE52" s="104">
        <f>'RFA-NS'!K35</f>
        <v>34.6</v>
      </c>
      <c r="AG52" s="107" t="s">
        <v>10</v>
      </c>
      <c r="AH52" s="104">
        <f>'BON-SN'!K35</f>
        <v>52.9</v>
      </c>
      <c r="AI52" s="104">
        <f>'BSL-SN'!K35</f>
        <v>351.35</v>
      </c>
      <c r="AJ52" s="104">
        <f>'BWA-SN'!K35</f>
        <v>690.95</v>
      </c>
      <c r="AK52" s="104">
        <f>'RFA-SN'!K35</f>
        <v>435.05</v>
      </c>
    </row>
    <row r="53" spans="1:37">
      <c r="A53" s="107" t="s">
        <v>40</v>
      </c>
      <c r="B53" s="103">
        <f>'BON-NS'!$C36</f>
        <v>131.75</v>
      </c>
      <c r="C53" s="103">
        <f>'BSL-NS'!$C36</f>
        <v>601.6</v>
      </c>
      <c r="D53" s="103">
        <f>'BWA-NS'!$C36</f>
        <v>855.95</v>
      </c>
      <c r="E53" s="103">
        <f>'RFA-NS'!$C36</f>
        <v>530.5</v>
      </c>
      <c r="G53" s="107" t="s">
        <v>40</v>
      </c>
      <c r="H53" s="105">
        <f>'BON-SN'!$C36</f>
        <v>31.1</v>
      </c>
      <c r="I53" s="105">
        <f>'BSL-SN'!$C36</f>
        <v>190.8</v>
      </c>
      <c r="J53" s="105">
        <f>'BWA-SN'!$C36</f>
        <v>814.65</v>
      </c>
      <c r="K53" s="105">
        <f>'RFA-SN'!$C36</f>
        <v>417.65</v>
      </c>
      <c r="O53" s="107" t="s">
        <v>40</v>
      </c>
      <c r="P53" s="105">
        <f>'BON-NS'!G36</f>
        <v>41.15</v>
      </c>
      <c r="Q53" s="104">
        <f>'BSL-NS'!G36</f>
        <v>771.55</v>
      </c>
      <c r="R53" s="104">
        <f>'BWA-NS'!G36</f>
        <v>750.2</v>
      </c>
      <c r="S53">
        <f>'RFA-NS'!G36</f>
        <v>266.7</v>
      </c>
      <c r="U53" s="107" t="s">
        <v>40</v>
      </c>
      <c r="V53" s="104">
        <f>'BON-SN'!G36</f>
        <v>8.4499999999999993</v>
      </c>
      <c r="W53" s="104">
        <f>'BSL-SN'!G36</f>
        <v>862.95</v>
      </c>
      <c r="X53" s="104">
        <f>'BWA-SN'!G36</f>
        <v>512.1</v>
      </c>
      <c r="Y53" s="104">
        <f>'RFA-SN'!G36</f>
        <v>283.85000000000002</v>
      </c>
      <c r="AA53" s="107" t="s">
        <v>40</v>
      </c>
      <c r="AB53" s="104">
        <f>'BON-NS'!K36</f>
        <v>11.45</v>
      </c>
      <c r="AC53" s="104">
        <f>'BSL-NS'!K36</f>
        <v>97.25</v>
      </c>
      <c r="AD53" s="104">
        <f>'BWA-NS'!K36</f>
        <v>169.25</v>
      </c>
      <c r="AE53" s="104">
        <f>'RFA-NS'!K36</f>
        <v>22</v>
      </c>
      <c r="AG53" s="107" t="s">
        <v>40</v>
      </c>
      <c r="AH53" s="104">
        <f>'BON-SN'!K36</f>
        <v>78.2</v>
      </c>
      <c r="AI53" s="104">
        <f>'BSL-SN'!K36</f>
        <v>375.1</v>
      </c>
      <c r="AJ53" s="104">
        <f>'BWA-SN'!K36</f>
        <v>810.75</v>
      </c>
      <c r="AK53" s="104">
        <f>'RFA-SN'!K36</f>
        <v>438.05</v>
      </c>
    </row>
    <row r="54" spans="1:37">
      <c r="A54" s="107" t="s">
        <v>41</v>
      </c>
      <c r="B54" s="103">
        <f>'BON-NS'!$C37</f>
        <v>119.21739130434783</v>
      </c>
      <c r="C54" s="103">
        <f>'BSL-NS'!$C37</f>
        <v>557.21739130434787</v>
      </c>
      <c r="D54" s="103">
        <f>'BWA-NS'!$C37</f>
        <v>827.78260869565213</v>
      </c>
      <c r="E54" s="103">
        <f>'RFA-NS'!$C37</f>
        <v>487.47826086956519</v>
      </c>
      <c r="G54" s="107" t="s">
        <v>41</v>
      </c>
      <c r="H54" s="105">
        <f>'BON-SN'!$C37</f>
        <v>26.956521739130434</v>
      </c>
      <c r="I54" s="105">
        <f>'BSL-SN'!$C37</f>
        <v>175.2608695652174</v>
      </c>
      <c r="J54" s="105">
        <f>'BWA-SN'!$C37</f>
        <v>758.17391304347825</v>
      </c>
      <c r="K54" s="105">
        <f>'RFA-SN'!$C37</f>
        <v>383.04347826086956</v>
      </c>
      <c r="O54" s="107" t="s">
        <v>41</v>
      </c>
      <c r="P54" s="105">
        <f>'BON-NS'!G37</f>
        <v>31.913043478260871</v>
      </c>
      <c r="Q54" s="104">
        <f>'BSL-NS'!G37</f>
        <v>666.695652173913</v>
      </c>
      <c r="R54" s="104">
        <f>'BWA-NS'!G37</f>
        <v>702.304347826087</v>
      </c>
      <c r="S54">
        <f>'RFA-NS'!G37</f>
        <v>254.13043478260869</v>
      </c>
      <c r="U54" s="107" t="s">
        <v>41</v>
      </c>
      <c r="V54" s="104">
        <f>'BON-SN'!G37</f>
        <v>8</v>
      </c>
      <c r="W54" s="104">
        <f>'BSL-SN'!G37</f>
        <v>741.95652173913038</v>
      </c>
      <c r="X54" s="104">
        <f>'BWA-SN'!G37</f>
        <v>485.13043478260869</v>
      </c>
      <c r="Y54" s="104">
        <f>'RFA-SN'!G37</f>
        <v>287.52173913043481</v>
      </c>
      <c r="AA54" s="107" t="s">
        <v>41</v>
      </c>
      <c r="AB54" s="104">
        <f>'BON-NS'!K37</f>
        <v>10.173913043478262</v>
      </c>
      <c r="AC54" s="104">
        <f>'BSL-NS'!K37</f>
        <v>101.04347826086956</v>
      </c>
      <c r="AD54" s="104">
        <f>'BWA-NS'!K37</f>
        <v>174.21739130434781</v>
      </c>
      <c r="AE54" s="104">
        <f>'RFA-NS'!K37</f>
        <v>31</v>
      </c>
      <c r="AG54" s="107" t="s">
        <v>41</v>
      </c>
      <c r="AH54" s="104">
        <f>'BON-SN'!K37</f>
        <v>78.260869565217391</v>
      </c>
      <c r="AI54" s="104">
        <f>'BSL-SN'!K37</f>
        <v>328.78260869565219</v>
      </c>
      <c r="AJ54" s="104">
        <f>'BWA-SN'!K37</f>
        <v>806.21739130434787</v>
      </c>
      <c r="AK54" s="104">
        <f>'RFA-SN'!K37</f>
        <v>385.17391304347825</v>
      </c>
    </row>
    <row r="55" spans="1:37" s="106" customFormat="1">
      <c r="A55" s="107" t="s">
        <v>42</v>
      </c>
      <c r="B55" s="103">
        <f>'BON-NS'!$C38</f>
        <v>108.42857142857143</v>
      </c>
      <c r="C55" s="103">
        <f>'BSL-NS'!$C38</f>
        <v>481.09523809523807</v>
      </c>
      <c r="D55" s="103">
        <f>'BWA-NS'!$C38</f>
        <v>804.76190476190482</v>
      </c>
      <c r="E55" s="103">
        <f>'RFA-NS'!$C38</f>
        <v>466.85714285714283</v>
      </c>
      <c r="F55"/>
      <c r="G55" s="107" t="s">
        <v>42</v>
      </c>
      <c r="H55" s="105">
        <f>'BON-SN'!$C38</f>
        <v>19.38095238095238</v>
      </c>
      <c r="I55" s="105">
        <f>'BSL-SN'!$C38</f>
        <v>130.47619047619048</v>
      </c>
      <c r="J55" s="105">
        <f>'BWA-SN'!$C38</f>
        <v>699.95238095238096</v>
      </c>
      <c r="K55" s="105">
        <f>'RFA-SN'!$C38</f>
        <v>352.66666666666669</v>
      </c>
      <c r="L55"/>
      <c r="M55"/>
      <c r="N55"/>
      <c r="O55" s="107" t="s">
        <v>42</v>
      </c>
      <c r="P55" s="105">
        <f>'BON-NS'!G38</f>
        <v>21.238095238095237</v>
      </c>
      <c r="Q55" s="104">
        <f>'BSL-NS'!G38</f>
        <v>494.09523809523807</v>
      </c>
      <c r="R55" s="104">
        <f>'BWA-NS'!G38</f>
        <v>635.76190476190482</v>
      </c>
      <c r="S55">
        <f>'RFA-NS'!G38</f>
        <v>207.61904761904762</v>
      </c>
      <c r="T55"/>
      <c r="U55" s="107" t="s">
        <v>42</v>
      </c>
      <c r="V55" s="104">
        <f>'BON-SN'!G38</f>
        <v>6.7142857142857144</v>
      </c>
      <c r="W55" s="104">
        <f>'BSL-SN'!G38</f>
        <v>571.09523809523807</v>
      </c>
      <c r="X55" s="104">
        <f>'BWA-SN'!G38</f>
        <v>415.66666666666669</v>
      </c>
      <c r="Y55" s="104">
        <f>'RFA-SN'!G38</f>
        <v>233.0952380952381</v>
      </c>
      <c r="AA55" s="107" t="s">
        <v>42</v>
      </c>
      <c r="AB55" s="104">
        <f>'BON-NS'!K38</f>
        <v>7.2380952380952381</v>
      </c>
      <c r="AC55" s="104">
        <f>'BSL-NS'!K38</f>
        <v>97.19047619047619</v>
      </c>
      <c r="AD55" s="104">
        <f>'BWA-NS'!K38</f>
        <v>185.47619047619048</v>
      </c>
      <c r="AE55" s="104">
        <f>'RFA-NS'!K38</f>
        <v>37.428571428571431</v>
      </c>
      <c r="AG55" s="107" t="s">
        <v>42</v>
      </c>
      <c r="AH55" s="104">
        <f>'BON-SN'!K38</f>
        <v>64.904761904761898</v>
      </c>
      <c r="AI55" s="104">
        <f>'BSL-SN'!K38</f>
        <v>260.09523809523807</v>
      </c>
      <c r="AJ55" s="104">
        <f>'BWA-SN'!K38</f>
        <v>641.28571428571433</v>
      </c>
      <c r="AK55" s="104">
        <f>'RFA-SN'!K38</f>
        <v>376.71428571428572</v>
      </c>
    </row>
    <row r="56" spans="1:37">
      <c r="A56" s="107" t="s">
        <v>43</v>
      </c>
      <c r="B56" s="103">
        <f>'BON-NS'!$C39</f>
        <v>109.85714285714286</v>
      </c>
      <c r="C56" s="103">
        <f>'BSL-NS'!$C39</f>
        <v>578.61904761904759</v>
      </c>
      <c r="D56" s="103">
        <f>'BWA-NS'!$C39</f>
        <v>852.09523809523807</v>
      </c>
      <c r="E56" s="103">
        <f>'RFA-NS'!$C39</f>
        <v>518.04761904761904</v>
      </c>
      <c r="G56" s="107" t="s">
        <v>43</v>
      </c>
      <c r="H56" s="105">
        <f>'BON-SN'!$C39</f>
        <v>29.142857142857142</v>
      </c>
      <c r="I56" s="105">
        <f>'BSL-SN'!$C39</f>
        <v>168.0952380952381</v>
      </c>
      <c r="J56" s="105">
        <f>'BWA-SN'!$C39</f>
        <v>841.38095238095241</v>
      </c>
      <c r="K56" s="105">
        <f>'RFA-SN'!$C39</f>
        <v>399.52380952380952</v>
      </c>
      <c r="O56" s="107" t="s">
        <v>43</v>
      </c>
      <c r="P56" s="105">
        <f>'BON-NS'!G39</f>
        <v>33.714285714285715</v>
      </c>
      <c r="Q56" s="104">
        <f>'BSL-NS'!G39</f>
        <v>703.09523809523807</v>
      </c>
      <c r="R56" s="104">
        <f>'BWA-NS'!G39</f>
        <v>789.95238095238096</v>
      </c>
      <c r="S56">
        <f>'RFA-NS'!G39</f>
        <v>284.42857142857144</v>
      </c>
      <c r="U56" s="107" t="s">
        <v>43</v>
      </c>
      <c r="V56" s="104">
        <f>'BON-SN'!G39</f>
        <v>7.6190476190476186</v>
      </c>
      <c r="W56" s="104">
        <f>'BSL-SN'!G39</f>
        <v>731.42857142857144</v>
      </c>
      <c r="X56" s="104">
        <f>'BWA-SN'!G39</f>
        <v>503.23809523809524</v>
      </c>
      <c r="Y56" s="104">
        <f>'RFA-SN'!G39</f>
        <v>277.57142857142856</v>
      </c>
      <c r="AA56" s="107" t="s">
        <v>43</v>
      </c>
      <c r="AB56" s="104">
        <f>'BON-NS'!K39</f>
        <v>9.4761904761904763</v>
      </c>
      <c r="AC56" s="104">
        <f>'BSL-NS'!K39</f>
        <v>94.333333333333329</v>
      </c>
      <c r="AD56" s="104">
        <f>'BWA-NS'!K39</f>
        <v>167.14285714285714</v>
      </c>
      <c r="AE56" s="104">
        <f>'RFA-NS'!K39</f>
        <v>30.571428571428573</v>
      </c>
      <c r="AG56" s="107" t="s">
        <v>43</v>
      </c>
      <c r="AH56" s="104">
        <f>'BON-SN'!K39</f>
        <v>51</v>
      </c>
      <c r="AI56" s="104">
        <f>'BSL-SN'!K39</f>
        <v>338.23809523809524</v>
      </c>
      <c r="AJ56" s="104">
        <f>'BWA-SN'!K39</f>
        <v>656.95238095238096</v>
      </c>
      <c r="AK56" s="104">
        <f>'RFA-SN'!K39</f>
        <v>415.76190476190476</v>
      </c>
    </row>
    <row r="57" spans="1:37">
      <c r="A57" s="107" t="s">
        <v>44</v>
      </c>
      <c r="B57" s="103" t="str">
        <f>'BON-NS'!$C40</f>
        <v/>
      </c>
      <c r="C57" s="103" t="str">
        <f>'BSL-NS'!$C40</f>
        <v/>
      </c>
      <c r="D57" s="103" t="str">
        <f>'BWA-NS'!$C40</f>
        <v/>
      </c>
      <c r="E57" s="103" t="str">
        <f>'RFA-NS'!$C40</f>
        <v/>
      </c>
      <c r="G57" s="107" t="s">
        <v>44</v>
      </c>
      <c r="H57" s="105" t="str">
        <f>'BON-SN'!$C40</f>
        <v/>
      </c>
      <c r="I57" s="105" t="str">
        <f>'BSL-SN'!$C40</f>
        <v/>
      </c>
      <c r="J57" s="105" t="str">
        <f>'BWA-SN'!$C40</f>
        <v/>
      </c>
      <c r="K57" s="105" t="str">
        <f>'RFA-SN'!$C40</f>
        <v/>
      </c>
      <c r="O57" s="107" t="s">
        <v>44</v>
      </c>
      <c r="P57" s="105" t="str">
        <f>'BON-NS'!G40</f>
        <v/>
      </c>
      <c r="Q57" s="104" t="str">
        <f>'BSL-NS'!G40</f>
        <v/>
      </c>
      <c r="R57" s="104" t="str">
        <f>'BWA-NS'!G40</f>
        <v/>
      </c>
      <c r="S57" t="str">
        <f>'RFA-NS'!G40</f>
        <v/>
      </c>
      <c r="U57" s="107" t="s">
        <v>44</v>
      </c>
      <c r="V57" s="104" t="str">
        <f>'BON-SN'!G40</f>
        <v/>
      </c>
      <c r="W57" s="104" t="str">
        <f>'BSL-SN'!G40</f>
        <v/>
      </c>
      <c r="X57" s="104" t="str">
        <f>'BWA-SN'!G40</f>
        <v/>
      </c>
      <c r="Y57" s="104" t="str">
        <f>'RFA-SN'!G40</f>
        <v/>
      </c>
      <c r="AA57" s="107" t="s">
        <v>44</v>
      </c>
      <c r="AB57" s="104" t="str">
        <f>'BON-NS'!K40</f>
        <v/>
      </c>
      <c r="AC57" s="104" t="str">
        <f>'BSL-NS'!K40</f>
        <v/>
      </c>
      <c r="AD57" s="104" t="str">
        <f>'BWA-NS'!K40</f>
        <v/>
      </c>
      <c r="AE57" s="104" t="str">
        <f>'RFA-NS'!K40</f>
        <v/>
      </c>
      <c r="AG57" s="107" t="s">
        <v>44</v>
      </c>
      <c r="AH57" s="104" t="str">
        <f>'BON-SN'!K40</f>
        <v/>
      </c>
      <c r="AI57" s="104" t="str">
        <f>'BSL-SN'!K40</f>
        <v/>
      </c>
      <c r="AJ57" s="104" t="str">
        <f>'BWA-SN'!K40</f>
        <v/>
      </c>
      <c r="AK57" s="104" t="str">
        <f>'RFA-SN'!K40</f>
        <v/>
      </c>
    </row>
    <row r="58" spans="1:37">
      <c r="A58" s="107" t="s">
        <v>45</v>
      </c>
      <c r="B58" s="103" t="str">
        <f>'BON-NS'!$C41</f>
        <v/>
      </c>
      <c r="C58" s="103" t="str">
        <f>'BSL-NS'!$C41</f>
        <v/>
      </c>
      <c r="D58" s="103" t="str">
        <f>'BWA-NS'!$C41</f>
        <v/>
      </c>
      <c r="E58" s="103" t="str">
        <f>'RFA-NS'!$C41</f>
        <v/>
      </c>
      <c r="G58" s="107" t="s">
        <v>45</v>
      </c>
      <c r="H58" s="105" t="str">
        <f>'BON-SN'!$C41</f>
        <v/>
      </c>
      <c r="I58" s="105" t="str">
        <f>'BSL-SN'!$C41</f>
        <v/>
      </c>
      <c r="J58" s="105" t="str">
        <f>'BWA-SN'!$C41</f>
        <v/>
      </c>
      <c r="K58" s="105" t="str">
        <f>'RFA-SN'!$C41</f>
        <v/>
      </c>
      <c r="O58" s="107" t="s">
        <v>45</v>
      </c>
      <c r="P58" s="105" t="str">
        <f>'BON-NS'!G41</f>
        <v/>
      </c>
      <c r="Q58" s="104" t="str">
        <f>'BSL-NS'!G41</f>
        <v/>
      </c>
      <c r="R58" s="104" t="str">
        <f>'BWA-NS'!G41</f>
        <v/>
      </c>
      <c r="S58" t="str">
        <f>'RFA-NS'!G41</f>
        <v/>
      </c>
      <c r="U58" s="107" t="s">
        <v>45</v>
      </c>
      <c r="V58" s="104" t="str">
        <f>'BON-SN'!G41</f>
        <v/>
      </c>
      <c r="W58" s="104" t="str">
        <f>'BSL-SN'!G41</f>
        <v/>
      </c>
      <c r="X58" s="104" t="str">
        <f>'BWA-SN'!G41</f>
        <v/>
      </c>
      <c r="Y58" s="104" t="str">
        <f>'RFA-SN'!G41</f>
        <v/>
      </c>
      <c r="AA58" s="107" t="s">
        <v>45</v>
      </c>
      <c r="AB58" s="104" t="str">
        <f>'BON-NS'!K41</f>
        <v/>
      </c>
      <c r="AC58" s="104" t="str">
        <f>'BSL-NS'!K41</f>
        <v/>
      </c>
      <c r="AD58" s="104" t="str">
        <f>'BWA-NS'!K41</f>
        <v/>
      </c>
      <c r="AE58" s="104" t="str">
        <f>'RFA-NS'!K41</f>
        <v/>
      </c>
      <c r="AG58" s="107" t="s">
        <v>45</v>
      </c>
      <c r="AH58" s="104" t="str">
        <f>'BON-SN'!K41</f>
        <v/>
      </c>
      <c r="AI58" s="104" t="str">
        <f>'BSL-SN'!K41</f>
        <v/>
      </c>
      <c r="AJ58" s="104" t="str">
        <f>'BWA-SN'!K41</f>
        <v/>
      </c>
      <c r="AK58" s="104" t="str">
        <f>'RFA-SN'!K41</f>
        <v/>
      </c>
    </row>
    <row r="59" spans="1:37">
      <c r="A59" s="107" t="s">
        <v>46</v>
      </c>
      <c r="B59" s="103" t="str">
        <f>'BON-NS'!$C42</f>
        <v/>
      </c>
      <c r="C59" s="103" t="str">
        <f>'BSL-NS'!$C42</f>
        <v/>
      </c>
      <c r="D59" s="103" t="str">
        <f>'BWA-NS'!$C42</f>
        <v/>
      </c>
      <c r="E59" s="103" t="str">
        <f>'RFA-NS'!$C42</f>
        <v/>
      </c>
      <c r="G59" s="107" t="s">
        <v>46</v>
      </c>
      <c r="H59" s="105" t="str">
        <f>'BON-SN'!$C42</f>
        <v/>
      </c>
      <c r="I59" s="105" t="str">
        <f>'BSL-SN'!$C42</f>
        <v/>
      </c>
      <c r="J59" s="105" t="str">
        <f>'BWA-SN'!$C42</f>
        <v/>
      </c>
      <c r="K59" s="105" t="str">
        <f>'RFA-SN'!$C42</f>
        <v/>
      </c>
      <c r="O59" s="107" t="s">
        <v>46</v>
      </c>
      <c r="P59" s="105" t="str">
        <f>'BON-NS'!G42</f>
        <v/>
      </c>
      <c r="Q59" s="104" t="str">
        <f>'BSL-NS'!G42</f>
        <v/>
      </c>
      <c r="R59" s="104" t="str">
        <f>'BWA-NS'!G42</f>
        <v/>
      </c>
      <c r="S59" t="str">
        <f>'RFA-NS'!G42</f>
        <v/>
      </c>
      <c r="U59" s="107" t="s">
        <v>46</v>
      </c>
      <c r="V59" s="104" t="str">
        <f>'BON-SN'!G42</f>
        <v/>
      </c>
      <c r="W59" s="104" t="str">
        <f>'BSL-SN'!G42</f>
        <v/>
      </c>
      <c r="X59" s="104" t="str">
        <f>'BWA-SN'!G42</f>
        <v/>
      </c>
      <c r="Y59" s="104" t="str">
        <f>'RFA-SN'!G42</f>
        <v/>
      </c>
      <c r="AA59" s="107" t="s">
        <v>46</v>
      </c>
      <c r="AB59" s="104" t="str">
        <f>'BON-NS'!K42</f>
        <v/>
      </c>
      <c r="AC59" s="104" t="str">
        <f>'BSL-NS'!K42</f>
        <v/>
      </c>
      <c r="AD59" s="104" t="str">
        <f>'BWA-NS'!K42</f>
        <v/>
      </c>
      <c r="AE59" s="104" t="str">
        <f>'RFA-NS'!K42</f>
        <v/>
      </c>
      <c r="AG59" s="107" t="s">
        <v>46</v>
      </c>
      <c r="AH59" s="104" t="str">
        <f>'BON-SN'!K42</f>
        <v/>
      </c>
      <c r="AI59" s="104" t="str">
        <f>'BSL-SN'!K42</f>
        <v/>
      </c>
      <c r="AJ59" s="104" t="str">
        <f>'BWA-SN'!K42</f>
        <v/>
      </c>
      <c r="AK59" s="104" t="str">
        <f>'RFA-SN'!K42</f>
        <v/>
      </c>
    </row>
    <row r="61" spans="1:37">
      <c r="A61" s="108" t="s">
        <v>56</v>
      </c>
      <c r="B61" s="108"/>
      <c r="C61" s="111"/>
      <c r="D61" s="111"/>
      <c r="E61" s="111"/>
      <c r="F61" s="106"/>
      <c r="G61" s="113" t="s">
        <v>55</v>
      </c>
      <c r="H61" s="115"/>
      <c r="I61" s="115"/>
      <c r="J61" s="115"/>
      <c r="K61" s="115"/>
      <c r="L61" s="106"/>
      <c r="M61" s="106"/>
      <c r="N61" s="106"/>
      <c r="O61" s="108" t="s">
        <v>53</v>
      </c>
      <c r="P61" s="111"/>
      <c r="Q61" s="111"/>
      <c r="R61" s="111"/>
      <c r="S61" s="111"/>
      <c r="T61" s="106"/>
      <c r="U61" s="113" t="s">
        <v>54</v>
      </c>
      <c r="V61" s="115"/>
      <c r="W61" s="115"/>
      <c r="X61" s="115"/>
      <c r="Y61" s="115"/>
      <c r="AA61" s="116" t="s">
        <v>61</v>
      </c>
      <c r="AB61" s="111"/>
      <c r="AC61" s="111"/>
      <c r="AD61" s="111"/>
      <c r="AE61" s="111"/>
      <c r="AG61" s="117" t="s">
        <v>62</v>
      </c>
      <c r="AH61" s="112"/>
      <c r="AI61" s="112"/>
      <c r="AJ61" s="112"/>
      <c r="AK61" s="112"/>
    </row>
  </sheetData>
  <phoneticPr fontId="3" type="noConversion"/>
  <pageMargins left="0.39000000000000007" right="0.39000000000000007" top="0.39000000000000007" bottom="0.39000000000000007" header="0.30000000000000004" footer="0.30000000000000004"/>
  <pageSetup paperSize="9" orientation="landscape" horizontalDpi="1200" verticalDpi="1200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44" t="s">
        <v>49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5" t="s">
        <v>25</v>
      </c>
      <c r="E3" s="14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3"/>
      <c r="C5" s="53"/>
      <c r="D5" s="53"/>
      <c r="E5" s="5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42"/>
      <c r="D6" s="142"/>
      <c r="E6" s="142"/>
      <c r="F6" s="9" t="s">
        <v>32</v>
      </c>
    </row>
    <row r="7" spans="1:17" ht="11.25" customHeight="1" thickBot="1">
      <c r="B7" s="143"/>
      <c r="C7" s="143"/>
      <c r="D7" s="143"/>
      <c r="E7" s="143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462</v>
      </c>
      <c r="C11" s="31">
        <v>534</v>
      </c>
      <c r="D11" s="21">
        <f>IF(OR(C11="",B11=0),"",C11-B11)</f>
        <v>72</v>
      </c>
      <c r="E11" s="71">
        <f t="shared" ref="E11:E22" si="0">IF(D11="","",D11/B11)</f>
        <v>0.15584415584415584</v>
      </c>
      <c r="F11" s="38">
        <v>134</v>
      </c>
      <c r="G11" s="31">
        <v>153</v>
      </c>
      <c r="H11" s="21">
        <f>IF(OR(G11="",F11=0),"",G11-F11)</f>
        <v>19</v>
      </c>
      <c r="I11" s="71">
        <f t="shared" ref="I11:I22" si="1">IF(H11="","",H11/F11)</f>
        <v>0.1417910447761194</v>
      </c>
      <c r="J11" s="38">
        <v>697</v>
      </c>
      <c r="K11" s="31">
        <v>821</v>
      </c>
      <c r="L11" s="21">
        <f>IF(OR(K11="",J11=0),"",K11-J11)</f>
        <v>124</v>
      </c>
      <c r="M11" s="71">
        <f t="shared" ref="M11:M22" si="2">IF(L11="","",L11/J11)</f>
        <v>0.17790530846484937</v>
      </c>
      <c r="N11" s="38">
        <f t="shared" ref="N11:N22" si="3">SUM(B11,F11,J11)</f>
        <v>1293</v>
      </c>
      <c r="O11" s="34">
        <f t="shared" ref="O11:O22" si="4">IF(C11="","",SUM(C11,G11,K11))</f>
        <v>1508</v>
      </c>
      <c r="P11" s="21">
        <f>IF(OR(O11="",N11=0),"",O11-N11)</f>
        <v>215</v>
      </c>
      <c r="Q11" s="71">
        <f t="shared" ref="Q11:Q22" si="5">IF(P11="","",P11/N11)</f>
        <v>0.16627996906419179</v>
      </c>
    </row>
    <row r="12" spans="1:17" ht="11.25" customHeight="1">
      <c r="A12" s="20" t="s">
        <v>7</v>
      </c>
      <c r="B12" s="38">
        <v>529</v>
      </c>
      <c r="C12" s="31">
        <v>495</v>
      </c>
      <c r="D12" s="21">
        <f t="shared" ref="D12:D22" si="6">IF(OR(C12="",B12=0),"",C12-B12)</f>
        <v>-34</v>
      </c>
      <c r="E12" s="71">
        <f t="shared" si="0"/>
        <v>-6.4272211720226846E-2</v>
      </c>
      <c r="F12" s="38">
        <v>187</v>
      </c>
      <c r="G12" s="31">
        <v>158</v>
      </c>
      <c r="H12" s="21">
        <f t="shared" ref="H12:H22" si="7">IF(OR(G12="",F12=0),"",G12-F12)</f>
        <v>-29</v>
      </c>
      <c r="I12" s="71">
        <f t="shared" si="1"/>
        <v>-0.15508021390374332</v>
      </c>
      <c r="J12" s="38">
        <v>977</v>
      </c>
      <c r="K12" s="31">
        <v>975</v>
      </c>
      <c r="L12" s="21">
        <f t="shared" ref="L12:L22" si="8">IF(OR(K12="",J12=0),"",K12-J12)</f>
        <v>-2</v>
      </c>
      <c r="M12" s="71">
        <f t="shared" si="2"/>
        <v>-2.0470829068577278E-3</v>
      </c>
      <c r="N12" s="38">
        <f t="shared" si="3"/>
        <v>1693</v>
      </c>
      <c r="O12" s="34">
        <f t="shared" si="4"/>
        <v>1628</v>
      </c>
      <c r="P12" s="21">
        <f t="shared" ref="P12:P22" si="9">IF(OR(O12="",N12=0),"",O12-N12)</f>
        <v>-65</v>
      </c>
      <c r="Q12" s="71">
        <f t="shared" si="5"/>
        <v>-3.83933845245127E-2</v>
      </c>
    </row>
    <row r="13" spans="1:17" ht="11.25" customHeight="1">
      <c r="A13" s="27" t="s">
        <v>8</v>
      </c>
      <c r="B13" s="40">
        <v>655</v>
      </c>
      <c r="C13" s="32">
        <v>596</v>
      </c>
      <c r="D13" s="22">
        <f t="shared" si="6"/>
        <v>-59</v>
      </c>
      <c r="E13" s="72">
        <f t="shared" si="0"/>
        <v>-9.0076335877862596E-2</v>
      </c>
      <c r="F13" s="40">
        <v>224</v>
      </c>
      <c r="G13" s="32">
        <v>179</v>
      </c>
      <c r="H13" s="22">
        <f t="shared" si="7"/>
        <v>-45</v>
      </c>
      <c r="I13" s="72">
        <f t="shared" si="1"/>
        <v>-0.20089285714285715</v>
      </c>
      <c r="J13" s="40">
        <v>1041</v>
      </c>
      <c r="K13" s="32">
        <v>1280</v>
      </c>
      <c r="L13" s="22">
        <f t="shared" si="8"/>
        <v>239</v>
      </c>
      <c r="M13" s="72">
        <f t="shared" si="2"/>
        <v>0.22958693563880883</v>
      </c>
      <c r="N13" s="40">
        <f t="shared" si="3"/>
        <v>1920</v>
      </c>
      <c r="O13" s="35">
        <f t="shared" si="4"/>
        <v>2055</v>
      </c>
      <c r="P13" s="22">
        <f t="shared" si="9"/>
        <v>135</v>
      </c>
      <c r="Q13" s="72">
        <f t="shared" si="5"/>
        <v>7.03125E-2</v>
      </c>
    </row>
    <row r="14" spans="1:17" ht="11.25" customHeight="1">
      <c r="A14" s="20" t="s">
        <v>9</v>
      </c>
      <c r="B14" s="38">
        <v>710</v>
      </c>
      <c r="C14" s="31">
        <v>666</v>
      </c>
      <c r="D14" s="21">
        <f t="shared" si="6"/>
        <v>-44</v>
      </c>
      <c r="E14" s="71">
        <f t="shared" si="0"/>
        <v>-6.1971830985915494E-2</v>
      </c>
      <c r="F14" s="38">
        <v>184</v>
      </c>
      <c r="G14" s="31">
        <v>168</v>
      </c>
      <c r="H14" s="21">
        <f t="shared" si="7"/>
        <v>-16</v>
      </c>
      <c r="I14" s="71">
        <f t="shared" si="1"/>
        <v>-8.6956521739130432E-2</v>
      </c>
      <c r="J14" s="38">
        <v>1404</v>
      </c>
      <c r="K14" s="31">
        <v>1246</v>
      </c>
      <c r="L14" s="21">
        <f t="shared" si="8"/>
        <v>-158</v>
      </c>
      <c r="M14" s="71">
        <f t="shared" si="2"/>
        <v>-0.11253561253561253</v>
      </c>
      <c r="N14" s="38">
        <f t="shared" si="3"/>
        <v>2298</v>
      </c>
      <c r="O14" s="34">
        <f t="shared" si="4"/>
        <v>2080</v>
      </c>
      <c r="P14" s="21">
        <f t="shared" si="9"/>
        <v>-218</v>
      </c>
      <c r="Q14" s="71">
        <f t="shared" si="5"/>
        <v>-9.4865100087032209E-2</v>
      </c>
    </row>
    <row r="15" spans="1:17" ht="11.25" customHeight="1">
      <c r="A15" s="20" t="s">
        <v>10</v>
      </c>
      <c r="B15" s="38">
        <v>504</v>
      </c>
      <c r="C15" s="31">
        <v>660</v>
      </c>
      <c r="D15" s="21">
        <f t="shared" si="6"/>
        <v>156</v>
      </c>
      <c r="E15" s="71">
        <f t="shared" si="0"/>
        <v>0.30952380952380953</v>
      </c>
      <c r="F15" s="38">
        <v>201</v>
      </c>
      <c r="G15" s="31">
        <v>135</v>
      </c>
      <c r="H15" s="21">
        <f t="shared" si="7"/>
        <v>-66</v>
      </c>
      <c r="I15" s="71">
        <f t="shared" si="1"/>
        <v>-0.32835820895522388</v>
      </c>
      <c r="J15" s="38">
        <v>1494</v>
      </c>
      <c r="K15" s="31">
        <v>1058</v>
      </c>
      <c r="L15" s="21">
        <f t="shared" si="8"/>
        <v>-436</v>
      </c>
      <c r="M15" s="71">
        <f t="shared" si="2"/>
        <v>-0.29183400267737619</v>
      </c>
      <c r="N15" s="38">
        <f t="shared" si="3"/>
        <v>2199</v>
      </c>
      <c r="O15" s="34">
        <f t="shared" si="4"/>
        <v>1853</v>
      </c>
      <c r="P15" s="21">
        <f t="shared" si="9"/>
        <v>-346</v>
      </c>
      <c r="Q15" s="71">
        <f t="shared" si="5"/>
        <v>-0.15734424738517508</v>
      </c>
    </row>
    <row r="16" spans="1:17" ht="11.25" customHeight="1">
      <c r="A16" s="27" t="s">
        <v>11</v>
      </c>
      <c r="B16" s="40">
        <v>648</v>
      </c>
      <c r="C16" s="32">
        <v>622</v>
      </c>
      <c r="D16" s="22">
        <f t="shared" si="6"/>
        <v>-26</v>
      </c>
      <c r="E16" s="72">
        <f t="shared" si="0"/>
        <v>-4.0123456790123455E-2</v>
      </c>
      <c r="F16" s="40">
        <v>252</v>
      </c>
      <c r="G16" s="32">
        <v>169</v>
      </c>
      <c r="H16" s="22">
        <f t="shared" si="7"/>
        <v>-83</v>
      </c>
      <c r="I16" s="72">
        <f t="shared" si="1"/>
        <v>-0.32936507936507936</v>
      </c>
      <c r="J16" s="40">
        <v>1942</v>
      </c>
      <c r="K16" s="32">
        <v>1564</v>
      </c>
      <c r="L16" s="22">
        <f t="shared" si="8"/>
        <v>-378</v>
      </c>
      <c r="M16" s="72">
        <f t="shared" si="2"/>
        <v>-0.19464469618949537</v>
      </c>
      <c r="N16" s="40">
        <f t="shared" si="3"/>
        <v>2842</v>
      </c>
      <c r="O16" s="35">
        <f t="shared" si="4"/>
        <v>2355</v>
      </c>
      <c r="P16" s="22">
        <f t="shared" si="9"/>
        <v>-487</v>
      </c>
      <c r="Q16" s="72">
        <f t="shared" si="5"/>
        <v>-0.17135819845179451</v>
      </c>
    </row>
    <row r="17" spans="1:21" ht="11.25" customHeight="1">
      <c r="A17" s="20" t="s">
        <v>12</v>
      </c>
      <c r="B17" s="38">
        <v>550</v>
      </c>
      <c r="C17" s="31">
        <v>620</v>
      </c>
      <c r="D17" s="21">
        <f t="shared" si="6"/>
        <v>70</v>
      </c>
      <c r="E17" s="71">
        <f t="shared" si="0"/>
        <v>0.12727272727272726</v>
      </c>
      <c r="F17" s="38">
        <v>190</v>
      </c>
      <c r="G17" s="31">
        <v>184</v>
      </c>
      <c r="H17" s="21">
        <f t="shared" si="7"/>
        <v>-6</v>
      </c>
      <c r="I17" s="71">
        <f t="shared" si="1"/>
        <v>-3.1578947368421054E-2</v>
      </c>
      <c r="J17" s="38">
        <v>1803</v>
      </c>
      <c r="K17" s="31">
        <v>1800</v>
      </c>
      <c r="L17" s="21">
        <f t="shared" si="8"/>
        <v>-3</v>
      </c>
      <c r="M17" s="71">
        <f t="shared" si="2"/>
        <v>-1.6638935108153079E-3</v>
      </c>
      <c r="N17" s="38">
        <f t="shared" si="3"/>
        <v>2543</v>
      </c>
      <c r="O17" s="34">
        <f t="shared" si="4"/>
        <v>2604</v>
      </c>
      <c r="P17" s="21">
        <f t="shared" si="9"/>
        <v>61</v>
      </c>
      <c r="Q17" s="71">
        <f t="shared" si="5"/>
        <v>2.3987416437278804E-2</v>
      </c>
    </row>
    <row r="18" spans="1:21" ht="11.25" customHeight="1">
      <c r="A18" s="20" t="s">
        <v>13</v>
      </c>
      <c r="B18" s="38">
        <v>368</v>
      </c>
      <c r="C18" s="31">
        <v>407</v>
      </c>
      <c r="D18" s="21">
        <f t="shared" si="6"/>
        <v>39</v>
      </c>
      <c r="E18" s="71">
        <f t="shared" si="0"/>
        <v>0.10597826086956522</v>
      </c>
      <c r="F18" s="38">
        <v>119</v>
      </c>
      <c r="G18" s="31">
        <v>141</v>
      </c>
      <c r="H18" s="21">
        <f t="shared" si="7"/>
        <v>22</v>
      </c>
      <c r="I18" s="71">
        <f t="shared" si="1"/>
        <v>0.18487394957983194</v>
      </c>
      <c r="J18" s="38">
        <v>1118</v>
      </c>
      <c r="K18" s="31">
        <v>1363</v>
      </c>
      <c r="L18" s="21">
        <f t="shared" si="8"/>
        <v>245</v>
      </c>
      <c r="M18" s="71">
        <f t="shared" si="2"/>
        <v>0.21914132379248658</v>
      </c>
      <c r="N18" s="38">
        <f t="shared" si="3"/>
        <v>1605</v>
      </c>
      <c r="O18" s="34">
        <f t="shared" si="4"/>
        <v>1911</v>
      </c>
      <c r="P18" s="21">
        <f t="shared" si="9"/>
        <v>306</v>
      </c>
      <c r="Q18" s="71">
        <f t="shared" si="5"/>
        <v>0.19065420560747665</v>
      </c>
    </row>
    <row r="19" spans="1:21" ht="11.25" customHeight="1">
      <c r="A19" s="27" t="s">
        <v>14</v>
      </c>
      <c r="B19" s="40">
        <v>601</v>
      </c>
      <c r="C19" s="32">
        <v>612</v>
      </c>
      <c r="D19" s="22">
        <f t="shared" si="6"/>
        <v>11</v>
      </c>
      <c r="E19" s="72">
        <f t="shared" si="0"/>
        <v>1.8302828618968387E-2</v>
      </c>
      <c r="F19" s="40">
        <v>168</v>
      </c>
      <c r="G19" s="32">
        <v>160</v>
      </c>
      <c r="H19" s="22">
        <f t="shared" si="7"/>
        <v>-8</v>
      </c>
      <c r="I19" s="72">
        <f t="shared" si="1"/>
        <v>-4.7619047619047616E-2</v>
      </c>
      <c r="J19" s="40">
        <v>1266</v>
      </c>
      <c r="K19" s="32">
        <v>1071</v>
      </c>
      <c r="L19" s="22">
        <f t="shared" si="8"/>
        <v>-195</v>
      </c>
      <c r="M19" s="72">
        <f t="shared" si="2"/>
        <v>-0.15402843601895735</v>
      </c>
      <c r="N19" s="40">
        <f t="shared" si="3"/>
        <v>2035</v>
      </c>
      <c r="O19" s="35">
        <f t="shared" si="4"/>
        <v>1843</v>
      </c>
      <c r="P19" s="22">
        <f t="shared" si="9"/>
        <v>-192</v>
      </c>
      <c r="Q19" s="72">
        <f t="shared" si="5"/>
        <v>-9.4348894348894347E-2</v>
      </c>
    </row>
    <row r="20" spans="1:21" ht="11.25" customHeight="1">
      <c r="A20" s="20" t="s">
        <v>15</v>
      </c>
      <c r="B20" s="38">
        <v>730</v>
      </c>
      <c r="C20" s="31"/>
      <c r="D20" s="21" t="str">
        <f t="shared" si="6"/>
        <v/>
      </c>
      <c r="E20" s="71" t="str">
        <f t="shared" si="0"/>
        <v/>
      </c>
      <c r="F20" s="38">
        <v>196</v>
      </c>
      <c r="G20" s="31"/>
      <c r="H20" s="21" t="str">
        <f t="shared" si="7"/>
        <v/>
      </c>
      <c r="I20" s="71" t="str">
        <f t="shared" si="1"/>
        <v/>
      </c>
      <c r="J20" s="38">
        <v>1395</v>
      </c>
      <c r="K20" s="31"/>
      <c r="L20" s="21" t="str">
        <f t="shared" si="8"/>
        <v/>
      </c>
      <c r="M20" s="71" t="str">
        <f t="shared" si="2"/>
        <v/>
      </c>
      <c r="N20" s="38">
        <f t="shared" si="3"/>
        <v>2321</v>
      </c>
      <c r="O20" s="34" t="str">
        <f t="shared" si="4"/>
        <v/>
      </c>
      <c r="P20" s="21" t="str">
        <f t="shared" si="9"/>
        <v/>
      </c>
      <c r="Q20" s="71" t="str">
        <f t="shared" si="5"/>
        <v/>
      </c>
    </row>
    <row r="21" spans="1:21" ht="11.25" customHeight="1">
      <c r="A21" s="20" t="s">
        <v>16</v>
      </c>
      <c r="B21" s="38">
        <v>613</v>
      </c>
      <c r="C21" s="31"/>
      <c r="D21" s="21" t="str">
        <f t="shared" si="6"/>
        <v/>
      </c>
      <c r="E21" s="71" t="str">
        <f t="shared" si="0"/>
        <v/>
      </c>
      <c r="F21" s="38">
        <v>172</v>
      </c>
      <c r="G21" s="31"/>
      <c r="H21" s="21" t="str">
        <f t="shared" si="7"/>
        <v/>
      </c>
      <c r="I21" s="71" t="str">
        <f t="shared" si="1"/>
        <v/>
      </c>
      <c r="J21" s="38">
        <v>979</v>
      </c>
      <c r="K21" s="31"/>
      <c r="L21" s="21" t="str">
        <f t="shared" si="8"/>
        <v/>
      </c>
      <c r="M21" s="71" t="str">
        <f t="shared" si="2"/>
        <v/>
      </c>
      <c r="N21" s="38">
        <f t="shared" si="3"/>
        <v>1764</v>
      </c>
      <c r="O21" s="34" t="str">
        <f t="shared" si="4"/>
        <v/>
      </c>
      <c r="P21" s="21" t="str">
        <f t="shared" si="9"/>
        <v/>
      </c>
      <c r="Q21" s="71" t="str">
        <f t="shared" si="5"/>
        <v/>
      </c>
    </row>
    <row r="22" spans="1:21" ht="11.25" customHeight="1" thickBot="1">
      <c r="A22" s="23" t="s">
        <v>17</v>
      </c>
      <c r="B22" s="39">
        <v>449</v>
      </c>
      <c r="C22" s="33"/>
      <c r="D22" s="21" t="str">
        <f t="shared" si="6"/>
        <v/>
      </c>
      <c r="E22" s="57" t="str">
        <f t="shared" si="0"/>
        <v/>
      </c>
      <c r="F22" s="39">
        <v>148</v>
      </c>
      <c r="G22" s="33"/>
      <c r="H22" s="21" t="str">
        <f t="shared" si="7"/>
        <v/>
      </c>
      <c r="I22" s="57" t="str">
        <f t="shared" si="1"/>
        <v/>
      </c>
      <c r="J22" s="39">
        <v>715</v>
      </c>
      <c r="K22" s="33"/>
      <c r="L22" s="21" t="str">
        <f t="shared" si="8"/>
        <v/>
      </c>
      <c r="M22" s="57" t="str">
        <f t="shared" si="2"/>
        <v/>
      </c>
      <c r="N22" s="39">
        <f t="shared" si="3"/>
        <v>1312</v>
      </c>
      <c r="O22" s="36" t="str">
        <f t="shared" si="4"/>
        <v/>
      </c>
      <c r="P22" s="21" t="str">
        <f t="shared" si="9"/>
        <v/>
      </c>
      <c r="Q22" s="57" t="str">
        <f t="shared" si="5"/>
        <v/>
      </c>
    </row>
    <row r="23" spans="1:21" ht="11.25" customHeight="1" thickBot="1">
      <c r="A23" s="44" t="s">
        <v>3</v>
      </c>
      <c r="B23" s="41">
        <f>IF(C17="",B24,B25)</f>
        <v>5027</v>
      </c>
      <c r="C23" s="42">
        <f>IF(C11="","",SUM(C11:C22))</f>
        <v>5212</v>
      </c>
      <c r="D23" s="43">
        <f>IF(C11="","",SUM(D11:D22))</f>
        <v>185</v>
      </c>
      <c r="E23" s="64">
        <f>IF(OR(D23="",D23=0),"",D23/B23)</f>
        <v>3.680127312512433E-2</v>
      </c>
      <c r="F23" s="41">
        <f>IF(G17="",F24,F25)</f>
        <v>1659</v>
      </c>
      <c r="G23" s="42">
        <f>IF(G11="","",SUM(G11:G22))</f>
        <v>1447</v>
      </c>
      <c r="H23" s="43">
        <f>IF(G11="","",SUM(H11:H22))</f>
        <v>-212</v>
      </c>
      <c r="I23" s="64">
        <f>IF(OR(H23="",H23=0),"",H23/F23)</f>
        <v>-0.12778782399035563</v>
      </c>
      <c r="J23" s="41">
        <f>IF(K17="",J24,J25)</f>
        <v>11742</v>
      </c>
      <c r="K23" s="42">
        <f>IF(K11="","",SUM(K11:K22))</f>
        <v>11178</v>
      </c>
      <c r="L23" s="43">
        <f>IF(K11="","",SUM(L11:L22))</f>
        <v>-564</v>
      </c>
      <c r="M23" s="64">
        <f>IF(OR(L23="",L23=0),"",L23/J23)</f>
        <v>-4.8032703117015838E-2</v>
      </c>
      <c r="N23" s="41">
        <f>IF(O17="",N24,N25)</f>
        <v>18428</v>
      </c>
      <c r="O23" s="42">
        <f>IF(O11="","",SUM(O11:O22))</f>
        <v>17837</v>
      </c>
      <c r="P23" s="43">
        <f>IF(O11="","",SUM(P11:P22))</f>
        <v>-591</v>
      </c>
      <c r="Q23" s="64">
        <f>IF(OR(P23="",P23=0),"",P23/N23)</f>
        <v>-3.207076188408943E-2</v>
      </c>
    </row>
    <row r="24" spans="1:21" ht="11.25" customHeight="1">
      <c r="A24" s="88" t="s">
        <v>28</v>
      </c>
      <c r="B24" s="93">
        <f>IF(C16&lt;&gt;"",SUM(B11:B16),IF(C15&lt;&gt;"",SUM(B11:B15),IF(C14&lt;&gt;"",SUM(B11:B14),IF(C13&lt;&gt;"",SUM(B11:B13),IF(C12&lt;&gt;"",SUM(B11:B12),B11)))))</f>
        <v>3508</v>
      </c>
      <c r="C24" s="59">
        <f>COUNTIF(C11:C22,"&gt;0")</f>
        <v>9</v>
      </c>
      <c r="D24" s="59"/>
      <c r="E24" s="60"/>
      <c r="F24" s="93">
        <f>IF(G16&lt;&gt;"",SUM(F11:F16),IF(G15&lt;&gt;"",SUM(F11:F15),IF(G14&lt;&gt;"",SUM(F11:F14),IF(G13&lt;&gt;"",SUM(F11:F13),IF(G12&lt;&gt;"",SUM(F11:F12),F11)))))</f>
        <v>1182</v>
      </c>
      <c r="G24" s="59">
        <f>COUNTIF(G11:G22,"&gt;0")</f>
        <v>9</v>
      </c>
      <c r="H24" s="59"/>
      <c r="I24" s="60"/>
      <c r="J24" s="93">
        <f>IF(K16&lt;&gt;"",SUM(J11:J16),IF(K15&lt;&gt;"",SUM(J11:J15),IF(K14&lt;&gt;"",SUM(J11:J14),IF(K13&lt;&gt;"",SUM(J11:J13),IF(K12&lt;&gt;"",SUM(J11:J12),J11)))))</f>
        <v>7555</v>
      </c>
      <c r="K24" s="59">
        <f>COUNTIF(K11:K22,"&gt;0")</f>
        <v>9</v>
      </c>
      <c r="L24" s="59"/>
      <c r="M24" s="60"/>
      <c r="N24" s="93">
        <f>IF(O16&lt;&gt;"",SUM(N11:N16),IF(O15&lt;&gt;"",SUM(N11:N15),IF(O14&lt;&gt;"",SUM(N11:N14),IF(O13&lt;&gt;"",SUM(N11:N13),IF(O12&lt;&gt;"",SUM(N11:N12),N11)))))</f>
        <v>12245</v>
      </c>
      <c r="O24" s="59">
        <f>COUNTIF(O11:O22,"&gt;0")</f>
        <v>9</v>
      </c>
      <c r="P24" s="59"/>
      <c r="Q24" s="60"/>
    </row>
    <row r="25" spans="1:21" ht="11.25" customHeight="1">
      <c r="B25" s="91">
        <f>IF(C22&lt;&gt;"",SUM(B11:B22),IF(C21&lt;&gt;"",SUM(B11:B21),IF(C20&lt;&gt;"",SUM(B11:B20),IF(C19&lt;&gt;"",SUM(B11:B19),IF(C18&lt;&gt;"",SUM(B11:B18),SUM(B11:B17))))))</f>
        <v>5027</v>
      </c>
      <c r="F25" s="91">
        <f>IF(G22&lt;&gt;"",SUM(F11:F22),IF(G21&lt;&gt;"",SUM(F11:F21),IF(G20&lt;&gt;"",SUM(F11:F20),IF(G19&lt;&gt;"",SUM(F11:F19),IF(G18&lt;&gt;"",SUM(F11:F18),SUM(F11:F17))))))</f>
        <v>1659</v>
      </c>
      <c r="J25" s="91">
        <f>IF(K22&lt;&gt;"",SUM(J11:J22),IF(K21&lt;&gt;"",SUM(J11:J21),IF(K20&lt;&gt;"",SUM(J11:J20),IF(K19&lt;&gt;"",SUM(J11:J19),IF(K18&lt;&gt;"",SUM(J11:J18),SUM(J11:J17))))))</f>
        <v>11742</v>
      </c>
      <c r="N25" s="91">
        <f>IF(O22&lt;&gt;"",SUM(N11:N22),IF(O21&lt;&gt;"",SUM(N11:N21),IF(O20&lt;&gt;"",SUM(N11:N20),IF(O19&lt;&gt;"",SUM(N11:N19),IF(O18&lt;&gt;"",SUM(N11:N18),SUM(N11:N17))))))</f>
        <v>18428</v>
      </c>
    </row>
    <row r="26" spans="1:21" ht="11.25" customHeight="1">
      <c r="A26" s="7"/>
      <c r="B26" s="134" t="s">
        <v>22</v>
      </c>
      <c r="C26" s="142"/>
      <c r="D26" s="142"/>
      <c r="E26" s="142"/>
      <c r="F26" s="9" t="s">
        <v>31</v>
      </c>
    </row>
    <row r="27" spans="1:21" ht="11.25" customHeight="1" thickBot="1">
      <c r="B27" s="143"/>
      <c r="C27" s="143"/>
      <c r="D27" s="143"/>
      <c r="E27" s="143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 t="shared" ref="B31:B42" si="10">IF(C11="","",B11/$R31)</f>
        <v>21</v>
      </c>
      <c r="C31" s="81">
        <f t="shared" ref="C31:C42" si="11">IF(C11="","",C11/$S31)</f>
        <v>24.272727272727273</v>
      </c>
      <c r="D31" s="77">
        <f>IF(OR(C31="",B31=0),"",C31-B31)</f>
        <v>3.2727272727272734</v>
      </c>
      <c r="E31" s="73">
        <f>IF(D31="","",(C31-B31)/ABS(B31))</f>
        <v>0.15584415584415587</v>
      </c>
      <c r="F31" s="78">
        <f t="shared" ref="F31:F42" si="12">IF(G11="","",F11/$R31)</f>
        <v>6.0909090909090908</v>
      </c>
      <c r="G31" s="81">
        <f t="shared" ref="G31:G42" si="13">IF(G11="","",G11/$S31)</f>
        <v>6.9545454545454541</v>
      </c>
      <c r="H31" s="96">
        <f>IF(OR(G31="",F31=0),"",G31-F31)</f>
        <v>0.86363636363636331</v>
      </c>
      <c r="I31" s="73">
        <f>IF(H31="","",(G31-F31)/ABS(F31))</f>
        <v>0.14179104477611934</v>
      </c>
      <c r="J31" s="78">
        <f t="shared" ref="J31:J42" si="14">IF(K11="","",J11/$R31)</f>
        <v>31.681818181818183</v>
      </c>
      <c r="K31" s="81">
        <f t="shared" ref="K31:K42" si="15">IF(K11="","",K11/$S31)</f>
        <v>37.31818181818182</v>
      </c>
      <c r="L31" s="96">
        <f>IF(OR(K31="",J31=0),"",K31-J31)</f>
        <v>5.6363636363636367</v>
      </c>
      <c r="M31" s="73">
        <f>IF(L31="","",(K31-J31)/ABS(J31))</f>
        <v>0.17790530846484937</v>
      </c>
      <c r="N31" s="78">
        <f t="shared" ref="N31:N42" si="16">IF(O11="","",N11/$R31)</f>
        <v>58.772727272727273</v>
      </c>
      <c r="O31" s="81">
        <f t="shared" ref="O31:O42" si="17">IF(O11="","",O11/$S31)</f>
        <v>68.545454545454547</v>
      </c>
      <c r="P31" s="96">
        <f>IF(OR(O31="",N31=0),"",O31-N31)</f>
        <v>9.7727272727272734</v>
      </c>
      <c r="Q31" s="71">
        <f>IF(P31="","",(O31-N31)/ABS(N31))</f>
        <v>0.16627996906419182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25.19047619047619</v>
      </c>
      <c r="C32" s="81">
        <f t="shared" si="11"/>
        <v>24.75</v>
      </c>
      <c r="D32" s="77">
        <f t="shared" ref="D32:D42" si="18">IF(OR(C32="",B32=0),"",C32-B32)</f>
        <v>-0.4404761904761898</v>
      </c>
      <c r="E32" s="73">
        <f t="shared" ref="E32:E42" si="19">IF(D32="","",(C32-B32)/ABS(B32))</f>
        <v>-1.7485822306238158E-2</v>
      </c>
      <c r="F32" s="78">
        <f t="shared" si="12"/>
        <v>8.9047619047619051</v>
      </c>
      <c r="G32" s="81">
        <f t="shared" si="13"/>
        <v>7.9</v>
      </c>
      <c r="H32" s="96">
        <f t="shared" ref="H32:H42" si="20">IF(OR(G32="",F32=0),"",G32-F32)</f>
        <v>-1.0047619047619047</v>
      </c>
      <c r="I32" s="73">
        <f t="shared" ref="I32:I42" si="21">IF(H32="","",(G32-F32)/ABS(F32))</f>
        <v>-0.11283422459893047</v>
      </c>
      <c r="J32" s="78">
        <f t="shared" si="14"/>
        <v>46.523809523809526</v>
      </c>
      <c r="K32" s="81">
        <f t="shared" si="15"/>
        <v>48.75</v>
      </c>
      <c r="L32" s="96">
        <f t="shared" ref="L32:L42" si="22">IF(OR(K32="",J32=0),"",K32-J32)</f>
        <v>2.2261904761904745</v>
      </c>
      <c r="M32" s="73">
        <f t="shared" ref="M32:M42" si="23">IF(L32="","",(K32-J32)/ABS(J32))</f>
        <v>4.7850562947799345E-2</v>
      </c>
      <c r="N32" s="78">
        <f t="shared" si="16"/>
        <v>80.61904761904762</v>
      </c>
      <c r="O32" s="81">
        <f t="shared" si="17"/>
        <v>81.400000000000006</v>
      </c>
      <c r="P32" s="96">
        <f t="shared" ref="P32:P42" si="24">IF(OR(O32="",N32=0),"",O32-N32)</f>
        <v>0.78095238095238528</v>
      </c>
      <c r="Q32" s="71">
        <f t="shared" ref="Q32:Q42" si="25">IF(P32="","",(O32-N32)/ABS(N32))</f>
        <v>9.686946249261719E-3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29.772727272727273</v>
      </c>
      <c r="C33" s="82">
        <f t="shared" si="11"/>
        <v>29.8</v>
      </c>
      <c r="D33" s="84">
        <f t="shared" si="18"/>
        <v>2.7272727272727337E-2</v>
      </c>
      <c r="E33" s="74">
        <f t="shared" si="19"/>
        <v>9.1603053435114718E-4</v>
      </c>
      <c r="F33" s="79">
        <f t="shared" si="12"/>
        <v>10.181818181818182</v>
      </c>
      <c r="G33" s="82">
        <f t="shared" si="13"/>
        <v>8.9499999999999993</v>
      </c>
      <c r="H33" s="97">
        <f t="shared" si="20"/>
        <v>-1.2318181818181824</v>
      </c>
      <c r="I33" s="74">
        <f t="shared" si="21"/>
        <v>-0.12098214285714291</v>
      </c>
      <c r="J33" s="79">
        <f t="shared" si="14"/>
        <v>47.31818181818182</v>
      </c>
      <c r="K33" s="82">
        <f t="shared" si="15"/>
        <v>64</v>
      </c>
      <c r="L33" s="97">
        <f t="shared" si="22"/>
        <v>16.68181818181818</v>
      </c>
      <c r="M33" s="74">
        <f t="shared" si="23"/>
        <v>0.35254562920268967</v>
      </c>
      <c r="N33" s="79">
        <f t="shared" si="16"/>
        <v>87.272727272727266</v>
      </c>
      <c r="O33" s="82">
        <f t="shared" si="17"/>
        <v>102.75</v>
      </c>
      <c r="P33" s="97">
        <f t="shared" si="24"/>
        <v>15.477272727272734</v>
      </c>
      <c r="Q33" s="72">
        <f t="shared" si="25"/>
        <v>0.17734375000000008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37.368421052631582</v>
      </c>
      <c r="C34" s="81">
        <f t="shared" si="11"/>
        <v>31.714285714285715</v>
      </c>
      <c r="D34" s="77">
        <f t="shared" si="18"/>
        <v>-5.654135338345867</v>
      </c>
      <c r="E34" s="73">
        <f t="shared" si="19"/>
        <v>-0.15130784708249501</v>
      </c>
      <c r="F34" s="78">
        <f t="shared" si="12"/>
        <v>9.6842105263157894</v>
      </c>
      <c r="G34" s="81">
        <f t="shared" si="13"/>
        <v>8</v>
      </c>
      <c r="H34" s="96">
        <f t="shared" si="20"/>
        <v>-1.6842105263157894</v>
      </c>
      <c r="I34" s="73">
        <f t="shared" si="21"/>
        <v>-0.17391304347826086</v>
      </c>
      <c r="J34" s="78">
        <f t="shared" si="14"/>
        <v>73.89473684210526</v>
      </c>
      <c r="K34" s="81">
        <f t="shared" si="15"/>
        <v>59.333333333333336</v>
      </c>
      <c r="L34" s="96">
        <f t="shared" si="22"/>
        <v>-14.561403508771924</v>
      </c>
      <c r="M34" s="73">
        <f t="shared" si="23"/>
        <v>-0.19705603038936365</v>
      </c>
      <c r="N34" s="78">
        <f t="shared" si="16"/>
        <v>120.94736842105263</v>
      </c>
      <c r="O34" s="81">
        <f t="shared" si="17"/>
        <v>99.047619047619051</v>
      </c>
      <c r="P34" s="96">
        <f t="shared" si="24"/>
        <v>-21.899749373433579</v>
      </c>
      <c r="Q34" s="71">
        <f t="shared" si="25"/>
        <v>-0.18106842388826719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25.2</v>
      </c>
      <c r="C35" s="81">
        <f t="shared" si="11"/>
        <v>33</v>
      </c>
      <c r="D35" s="77">
        <f t="shared" si="18"/>
        <v>7.8000000000000007</v>
      </c>
      <c r="E35" s="73">
        <f t="shared" si="19"/>
        <v>0.30952380952380953</v>
      </c>
      <c r="F35" s="78">
        <f t="shared" si="12"/>
        <v>10.050000000000001</v>
      </c>
      <c r="G35" s="81">
        <f t="shared" si="13"/>
        <v>6.75</v>
      </c>
      <c r="H35" s="96">
        <f t="shared" si="20"/>
        <v>-3.3000000000000007</v>
      </c>
      <c r="I35" s="73">
        <f t="shared" si="21"/>
        <v>-0.32835820895522394</v>
      </c>
      <c r="J35" s="78">
        <f t="shared" si="14"/>
        <v>74.7</v>
      </c>
      <c r="K35" s="81">
        <f t="shared" si="15"/>
        <v>52.9</v>
      </c>
      <c r="L35" s="96">
        <f t="shared" si="22"/>
        <v>-21.800000000000004</v>
      </c>
      <c r="M35" s="73">
        <f t="shared" si="23"/>
        <v>-0.29183400267737619</v>
      </c>
      <c r="N35" s="78">
        <f t="shared" si="16"/>
        <v>109.95</v>
      </c>
      <c r="O35" s="81">
        <f t="shared" si="17"/>
        <v>92.65</v>
      </c>
      <c r="P35" s="96">
        <f t="shared" si="24"/>
        <v>-17.299999999999997</v>
      </c>
      <c r="Q35" s="71">
        <f t="shared" si="25"/>
        <v>-0.15734424738517505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30.857142857142858</v>
      </c>
      <c r="C36" s="82">
        <f t="shared" si="11"/>
        <v>31.1</v>
      </c>
      <c r="D36" s="84">
        <f t="shared" si="18"/>
        <v>0.24285714285714377</v>
      </c>
      <c r="E36" s="74">
        <f t="shared" si="19"/>
        <v>7.8703703703703991E-3</v>
      </c>
      <c r="F36" s="79">
        <f t="shared" si="12"/>
        <v>12</v>
      </c>
      <c r="G36" s="82">
        <f t="shared" si="13"/>
        <v>8.4499999999999993</v>
      </c>
      <c r="H36" s="97">
        <f t="shared" si="20"/>
        <v>-3.5500000000000007</v>
      </c>
      <c r="I36" s="74">
        <f t="shared" si="21"/>
        <v>-0.29583333333333339</v>
      </c>
      <c r="J36" s="79">
        <f t="shared" si="14"/>
        <v>92.476190476190482</v>
      </c>
      <c r="K36" s="82">
        <f t="shared" si="15"/>
        <v>78.2</v>
      </c>
      <c r="L36" s="97">
        <f t="shared" si="22"/>
        <v>-14.276190476190479</v>
      </c>
      <c r="M36" s="74">
        <f t="shared" si="23"/>
        <v>-0.15437693099897015</v>
      </c>
      <c r="N36" s="79">
        <f t="shared" si="16"/>
        <v>135.33333333333334</v>
      </c>
      <c r="O36" s="82">
        <f t="shared" si="17"/>
        <v>117.75</v>
      </c>
      <c r="P36" s="97">
        <f t="shared" si="24"/>
        <v>-17.583333333333343</v>
      </c>
      <c r="Q36" s="72">
        <f t="shared" si="25"/>
        <v>-0.12992610837438429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25</v>
      </c>
      <c r="C37" s="81">
        <f t="shared" si="11"/>
        <v>26.956521739130434</v>
      </c>
      <c r="D37" s="77">
        <f t="shared" si="18"/>
        <v>1.9565217391304337</v>
      </c>
      <c r="E37" s="73">
        <f t="shared" si="19"/>
        <v>7.8260869565217342E-2</v>
      </c>
      <c r="F37" s="78">
        <f t="shared" si="12"/>
        <v>8.6363636363636367</v>
      </c>
      <c r="G37" s="81">
        <f t="shared" si="13"/>
        <v>8</v>
      </c>
      <c r="H37" s="96">
        <f t="shared" si="20"/>
        <v>-0.63636363636363669</v>
      </c>
      <c r="I37" s="73">
        <f t="shared" si="21"/>
        <v>-7.3684210526315824E-2</v>
      </c>
      <c r="J37" s="78">
        <f t="shared" si="14"/>
        <v>81.954545454545453</v>
      </c>
      <c r="K37" s="81">
        <f t="shared" si="15"/>
        <v>78.260869565217391</v>
      </c>
      <c r="L37" s="96">
        <f t="shared" si="22"/>
        <v>-3.6936758893280626</v>
      </c>
      <c r="M37" s="73">
        <f t="shared" si="23"/>
        <v>-4.506981118425811E-2</v>
      </c>
      <c r="N37" s="78">
        <f t="shared" si="16"/>
        <v>115.59090909090909</v>
      </c>
      <c r="O37" s="81">
        <f t="shared" si="17"/>
        <v>113.21739130434783</v>
      </c>
      <c r="P37" s="96">
        <f t="shared" si="24"/>
        <v>-2.3735177865612656</v>
      </c>
      <c r="Q37" s="71">
        <f t="shared" si="25"/>
        <v>-2.0533775581733322E-2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16.727272727272727</v>
      </c>
      <c r="C38" s="81">
        <f t="shared" si="11"/>
        <v>19.38095238095238</v>
      </c>
      <c r="D38" s="77">
        <f t="shared" si="18"/>
        <v>2.653679653679653</v>
      </c>
      <c r="E38" s="73">
        <f t="shared" si="19"/>
        <v>0.15864389233954448</v>
      </c>
      <c r="F38" s="78">
        <f t="shared" si="12"/>
        <v>5.4090909090909092</v>
      </c>
      <c r="G38" s="81">
        <f t="shared" si="13"/>
        <v>6.7142857142857144</v>
      </c>
      <c r="H38" s="96">
        <f t="shared" si="20"/>
        <v>1.3051948051948052</v>
      </c>
      <c r="I38" s="73">
        <f t="shared" si="21"/>
        <v>0.24129651860744297</v>
      </c>
      <c r="J38" s="78">
        <f t="shared" si="14"/>
        <v>50.81818181818182</v>
      </c>
      <c r="K38" s="81">
        <f t="shared" si="15"/>
        <v>64.904761904761898</v>
      </c>
      <c r="L38" s="96">
        <f t="shared" si="22"/>
        <v>14.086580086580078</v>
      </c>
      <c r="M38" s="73">
        <f t="shared" si="23"/>
        <v>0.27719567254450955</v>
      </c>
      <c r="N38" s="78">
        <f t="shared" si="16"/>
        <v>72.954545454545453</v>
      </c>
      <c r="O38" s="81">
        <f t="shared" si="17"/>
        <v>91</v>
      </c>
      <c r="P38" s="96">
        <f t="shared" si="24"/>
        <v>18.045454545454547</v>
      </c>
      <c r="Q38" s="71">
        <f t="shared" si="25"/>
        <v>0.24735202492211841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30.05</v>
      </c>
      <c r="C39" s="82">
        <f t="shared" si="11"/>
        <v>29.142857142857142</v>
      </c>
      <c r="D39" s="84">
        <f t="shared" si="18"/>
        <v>-0.90714285714285836</v>
      </c>
      <c r="E39" s="74">
        <f t="shared" si="19"/>
        <v>-3.0187782267649194E-2</v>
      </c>
      <c r="F39" s="79">
        <f t="shared" si="12"/>
        <v>8.4</v>
      </c>
      <c r="G39" s="82">
        <f t="shared" si="13"/>
        <v>7.6190476190476186</v>
      </c>
      <c r="H39" s="97">
        <f t="shared" si="20"/>
        <v>-0.78095238095238173</v>
      </c>
      <c r="I39" s="74">
        <f t="shared" si="21"/>
        <v>-9.2970521541950207E-2</v>
      </c>
      <c r="J39" s="79">
        <f t="shared" si="14"/>
        <v>63.3</v>
      </c>
      <c r="K39" s="82">
        <f t="shared" si="15"/>
        <v>51</v>
      </c>
      <c r="L39" s="97">
        <f t="shared" si="22"/>
        <v>-12.299999999999997</v>
      </c>
      <c r="M39" s="74">
        <f t="shared" si="23"/>
        <v>-0.19431279620853076</v>
      </c>
      <c r="N39" s="79">
        <f t="shared" si="16"/>
        <v>101.75</v>
      </c>
      <c r="O39" s="82">
        <f t="shared" si="17"/>
        <v>87.761904761904759</v>
      </c>
      <c r="P39" s="97">
        <f t="shared" si="24"/>
        <v>-13.988095238095241</v>
      </c>
      <c r="Q39" s="72">
        <f t="shared" si="25"/>
        <v>-0.13747513747513751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8"/>
        <v/>
      </c>
      <c r="E40" s="73" t="str">
        <f t="shared" si="19"/>
        <v/>
      </c>
      <c r="F40" s="78" t="str">
        <f t="shared" si="12"/>
        <v/>
      </c>
      <c r="G40" s="81" t="str">
        <f t="shared" si="13"/>
        <v/>
      </c>
      <c r="H40" s="96" t="str">
        <f t="shared" si="20"/>
        <v/>
      </c>
      <c r="I40" s="73" t="str">
        <f t="shared" si="21"/>
        <v/>
      </c>
      <c r="J40" s="78" t="str">
        <f t="shared" si="14"/>
        <v/>
      </c>
      <c r="K40" s="81" t="str">
        <f t="shared" si="15"/>
        <v/>
      </c>
      <c r="L40" s="96" t="str">
        <f t="shared" si="22"/>
        <v/>
      </c>
      <c r="M40" s="73" t="str">
        <f t="shared" si="23"/>
        <v/>
      </c>
      <c r="N40" s="78" t="str">
        <f t="shared" si="16"/>
        <v/>
      </c>
      <c r="O40" s="81" t="str">
        <f t="shared" si="17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8"/>
        <v/>
      </c>
      <c r="E41" s="73" t="str">
        <f t="shared" si="19"/>
        <v/>
      </c>
      <c r="F41" s="78" t="str">
        <f t="shared" si="12"/>
        <v/>
      </c>
      <c r="G41" s="81" t="str">
        <f t="shared" si="13"/>
        <v/>
      </c>
      <c r="H41" s="96" t="str">
        <f t="shared" si="20"/>
        <v/>
      </c>
      <c r="I41" s="73" t="str">
        <f t="shared" si="21"/>
        <v/>
      </c>
      <c r="J41" s="78" t="str">
        <f t="shared" si="14"/>
        <v/>
      </c>
      <c r="K41" s="81" t="str">
        <f t="shared" si="15"/>
        <v/>
      </c>
      <c r="L41" s="96" t="str">
        <f t="shared" si="22"/>
        <v/>
      </c>
      <c r="M41" s="73" t="str">
        <f t="shared" si="23"/>
        <v/>
      </c>
      <c r="N41" s="78" t="str">
        <f t="shared" si="16"/>
        <v/>
      </c>
      <c r="O41" s="81" t="str">
        <f t="shared" si="17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8"/>
        <v/>
      </c>
      <c r="E42" s="73" t="str">
        <f t="shared" si="19"/>
        <v/>
      </c>
      <c r="F42" s="78" t="str">
        <f t="shared" si="12"/>
        <v/>
      </c>
      <c r="G42" s="81" t="str">
        <f t="shared" si="13"/>
        <v/>
      </c>
      <c r="H42" s="96" t="str">
        <f t="shared" si="20"/>
        <v/>
      </c>
      <c r="I42" s="73" t="str">
        <f t="shared" si="21"/>
        <v/>
      </c>
      <c r="J42" s="78" t="str">
        <f t="shared" si="14"/>
        <v/>
      </c>
      <c r="K42" s="81" t="str">
        <f t="shared" si="15"/>
        <v/>
      </c>
      <c r="L42" s="96" t="str">
        <f t="shared" si="22"/>
        <v/>
      </c>
      <c r="M42" s="73" t="str">
        <f t="shared" si="23"/>
        <v/>
      </c>
      <c r="N42" s="78" t="str">
        <f t="shared" si="16"/>
        <v/>
      </c>
      <c r="O42" s="81" t="str">
        <f t="shared" si="17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IF(B23=0,"",SUM(B31:B42)/B44)</f>
        <v>26.796226677805624</v>
      </c>
      <c r="C43" s="83">
        <f>IF(OR(C23=0,C23=""),"",SUM(C31:C42)/C44)</f>
        <v>27.79081602777255</v>
      </c>
      <c r="D43" s="75">
        <f>IF(B23=0,"",AVERAGE(D31:D42))</f>
        <v>0.99458934996692405</v>
      </c>
      <c r="E43" s="65">
        <f>IF(B23=0,"",AVERAGE(E31:E42))</f>
        <v>5.6897519613451832E-2</v>
      </c>
      <c r="F43" s="80">
        <f>IF(F23=0,"",SUM(F31:F42)/F44)</f>
        <v>8.8174615832510579</v>
      </c>
      <c r="G43" s="83">
        <f>IF(OR(G23=0,G23=""),"",SUM(G31:G42)/G44)</f>
        <v>7.7042087542087536</v>
      </c>
      <c r="H43" s="75">
        <f>IF(F23=0,"",AVERAGE(H31:H42))</f>
        <v>-1.1132528290423032</v>
      </c>
      <c r="I43" s="65">
        <f>IF(F23=0,"",AVERAGE(I31:I42))</f>
        <v>-9.0609791323066138E-2</v>
      </c>
      <c r="J43" s="80">
        <f>IF(J23=0,"",SUM(J31:J42)/J44)</f>
        <v>62.518607123870275</v>
      </c>
      <c r="K43" s="83">
        <f>IF(OR(K23=0,K23=""),"",SUM(K31:K42)/K44)</f>
        <v>59.407460735721607</v>
      </c>
      <c r="L43" s="75">
        <f>IF(J23=0,"",AVERAGE(L31:L42))</f>
        <v>-3.1111463881486774</v>
      </c>
      <c r="M43" s="65">
        <f>IF(J23=0,"",AVERAGE(M31:M42))</f>
        <v>-3.016933144294551E-3</v>
      </c>
      <c r="N43" s="80">
        <f>IF(N23=0,"",SUM(N31:N42)/N44)</f>
        <v>98.132295384926977</v>
      </c>
      <c r="O43" s="83">
        <f>IF(OR(O23=0,O23=""),"",SUM(O31:O42)/O44)</f>
        <v>94.902485517702928</v>
      </c>
      <c r="P43" s="75">
        <f>IF(N23=0,"",AVERAGE(P31:P42))</f>
        <v>-3.2298098672240538</v>
      </c>
      <c r="Q43" s="65">
        <f>IF(N23=0,"",AVERAGE(Q31:Q42))</f>
        <v>-2.8538891632361482E-3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>
        <f>COUNTIF(B31:B42,"&gt;0")</f>
        <v>9</v>
      </c>
      <c r="C44" s="61">
        <f>COUNTIF(C31:C42,"&gt;0")</f>
        <v>9</v>
      </c>
      <c r="D44" s="62"/>
      <c r="E44" s="63"/>
      <c r="F44" s="61">
        <f>COUNTIF(F31:F42,"&gt;0")</f>
        <v>9</v>
      </c>
      <c r="G44" s="61">
        <f>COUNTIF(G31:G42,"&gt;0")</f>
        <v>9</v>
      </c>
      <c r="H44" s="62"/>
      <c r="I44" s="63"/>
      <c r="J44" s="61">
        <f>COUNTIF(J31:J42,"&gt;0")</f>
        <v>9</v>
      </c>
      <c r="K44" s="61">
        <f>COUNTIF(K31:K42,"&gt;0")</f>
        <v>9</v>
      </c>
      <c r="L44" s="62"/>
      <c r="M44" s="63"/>
      <c r="N44" s="61">
        <f>COUNTIF(N31:N42,"&gt;0")</f>
        <v>9</v>
      </c>
      <c r="O44" s="61">
        <f>COUNTIF(O31:O42,"&gt;0")</f>
        <v>9</v>
      </c>
      <c r="P44" s="62"/>
      <c r="Q44" s="63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B3:C3"/>
    <mergeCell ref="D3:E3"/>
  </mergeCells>
  <phoneticPr fontId="0" type="noConversion"/>
  <conditionalFormatting sqref="F12:F22 J12:J22 N12:N22 B12:B22">
    <cfRule type="expression" dxfId="63" priority="3" stopIfTrue="1">
      <formula>C12=""</formula>
    </cfRule>
  </conditionalFormatting>
  <conditionalFormatting sqref="R43:S43 S31:S42">
    <cfRule type="expression" dxfId="62" priority="4" stopIfTrue="1">
      <formula>R31&lt;$R31</formula>
    </cfRule>
    <cfRule type="expression" dxfId="61" priority="5" stopIfTrue="1">
      <formula>R31&gt;$R31</formula>
    </cfRule>
  </conditionalFormatting>
  <conditionalFormatting sqref="S31:S42">
    <cfRule type="expression" dxfId="60" priority="1" stopIfTrue="1">
      <formula>S31&lt;$R31</formula>
    </cfRule>
    <cfRule type="expression" dxfId="59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39" t="s">
        <v>21</v>
      </c>
      <c r="C2" s="139"/>
      <c r="D2" s="139"/>
      <c r="E2" s="139"/>
      <c r="O2" s="5"/>
      <c r="P2" s="5"/>
      <c r="Q2" s="95"/>
    </row>
    <row r="3" spans="1:17" ht="13.5" customHeight="1">
      <c r="A3" s="1"/>
      <c r="B3" s="140" t="s">
        <v>20</v>
      </c>
      <c r="C3" s="140"/>
      <c r="D3" s="141" t="s">
        <v>19</v>
      </c>
      <c r="E3" s="141"/>
      <c r="O3" s="5"/>
      <c r="P3" s="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3"/>
      <c r="C5" s="53"/>
      <c r="D5" s="53"/>
      <c r="E5" s="5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11048</v>
      </c>
      <c r="C11" s="31">
        <v>12085</v>
      </c>
      <c r="D11" s="21">
        <f t="shared" ref="D11:D22" si="0">IF(C11="","",C11-B11)</f>
        <v>1037</v>
      </c>
      <c r="E11" s="71">
        <f t="shared" ref="E11:E23" si="1">IF(D11="","",D11/B11)</f>
        <v>9.3863142650253445E-2</v>
      </c>
      <c r="F11" s="38">
        <v>16359</v>
      </c>
      <c r="G11" s="31">
        <v>17254</v>
      </c>
      <c r="H11" s="21">
        <f t="shared" ref="H11:H22" si="2">IF(G11="","",G11-F11)</f>
        <v>895</v>
      </c>
      <c r="I11" s="71">
        <f t="shared" ref="I11:I23" si="3">IF(H11="","",H11/F11)</f>
        <v>5.4709945595696557E-2</v>
      </c>
      <c r="J11" s="38">
        <v>2624</v>
      </c>
      <c r="K11" s="31">
        <v>2249</v>
      </c>
      <c r="L11" s="21">
        <f t="shared" ref="L11:L22" si="4">IF(K11="","",K11-J11)</f>
        <v>-375</v>
      </c>
      <c r="M11" s="71">
        <f t="shared" ref="M11:M23" si="5">IF(L11="","",L11/J11)</f>
        <v>-0.14291158536585366</v>
      </c>
      <c r="N11" s="38">
        <f>SUM(B11,F11,J11)</f>
        <v>30031</v>
      </c>
      <c r="O11" s="34">
        <f t="shared" ref="O11:O22" si="6">IF(C11="","",SUM(C11,G11,K11))</f>
        <v>31588</v>
      </c>
      <c r="P11" s="21">
        <f t="shared" ref="P11:P22" si="7">IF(O11="","",O11-N11)</f>
        <v>1557</v>
      </c>
      <c r="Q11" s="71">
        <f t="shared" ref="Q11:Q23" si="8">IF(P11="","",P11/N11)</f>
        <v>5.1846425360460857E-2</v>
      </c>
    </row>
    <row r="12" spans="1:17" ht="11.25" customHeight="1">
      <c r="A12" s="20" t="s">
        <v>7</v>
      </c>
      <c r="B12" s="38">
        <v>11289</v>
      </c>
      <c r="C12" s="31">
        <v>11627</v>
      </c>
      <c r="D12" s="21">
        <f t="shared" si="0"/>
        <v>338</v>
      </c>
      <c r="E12" s="71">
        <f t="shared" si="1"/>
        <v>2.994065019045088E-2</v>
      </c>
      <c r="F12" s="38">
        <v>18479</v>
      </c>
      <c r="G12" s="31">
        <v>15814</v>
      </c>
      <c r="H12" s="21">
        <f t="shared" si="2"/>
        <v>-2665</v>
      </c>
      <c r="I12" s="71">
        <f t="shared" si="3"/>
        <v>-0.14421776070133666</v>
      </c>
      <c r="J12" s="38">
        <v>2763</v>
      </c>
      <c r="K12" s="31">
        <v>2054</v>
      </c>
      <c r="L12" s="21">
        <f t="shared" si="4"/>
        <v>-709</v>
      </c>
      <c r="M12" s="71">
        <f t="shared" si="5"/>
        <v>-0.2566051393412957</v>
      </c>
      <c r="N12" s="38">
        <f t="shared" ref="N12:N22" si="9">SUM(B12,F12,J12)</f>
        <v>32531</v>
      </c>
      <c r="O12" s="34">
        <f t="shared" si="6"/>
        <v>29495</v>
      </c>
      <c r="P12" s="21">
        <f t="shared" si="7"/>
        <v>-3036</v>
      </c>
      <c r="Q12" s="71">
        <f t="shared" si="8"/>
        <v>-9.3326365620485074E-2</v>
      </c>
    </row>
    <row r="13" spans="1:17" ht="11.25" customHeight="1">
      <c r="A13" s="27" t="s">
        <v>8</v>
      </c>
      <c r="B13" s="40">
        <v>12915</v>
      </c>
      <c r="C13" s="32">
        <v>12371</v>
      </c>
      <c r="D13" s="22">
        <f t="shared" si="0"/>
        <v>-544</v>
      </c>
      <c r="E13" s="72">
        <f t="shared" si="1"/>
        <v>-4.2121564072783585E-2</v>
      </c>
      <c r="F13" s="40">
        <v>20522</v>
      </c>
      <c r="G13" s="32">
        <v>16589</v>
      </c>
      <c r="H13" s="22">
        <f t="shared" si="2"/>
        <v>-3933</v>
      </c>
      <c r="I13" s="72">
        <f t="shared" si="3"/>
        <v>-0.19164798752558229</v>
      </c>
      <c r="J13" s="40">
        <v>2944</v>
      </c>
      <c r="K13" s="32">
        <v>2053</v>
      </c>
      <c r="L13" s="22">
        <f t="shared" si="4"/>
        <v>-891</v>
      </c>
      <c r="M13" s="72">
        <f t="shared" si="5"/>
        <v>-0.30264945652173914</v>
      </c>
      <c r="N13" s="40">
        <f t="shared" si="9"/>
        <v>36381</v>
      </c>
      <c r="O13" s="35">
        <f t="shared" si="6"/>
        <v>31013</v>
      </c>
      <c r="P13" s="22">
        <f t="shared" si="7"/>
        <v>-5368</v>
      </c>
      <c r="Q13" s="72">
        <f t="shared" si="8"/>
        <v>-0.14754954509221846</v>
      </c>
    </row>
    <row r="14" spans="1:17" ht="11.25" customHeight="1">
      <c r="A14" s="20" t="s">
        <v>9</v>
      </c>
      <c r="B14" s="38">
        <v>11726</v>
      </c>
      <c r="C14" s="31">
        <v>13258</v>
      </c>
      <c r="D14" s="21">
        <f t="shared" si="0"/>
        <v>1532</v>
      </c>
      <c r="E14" s="71">
        <f t="shared" si="1"/>
        <v>0.13064983796691113</v>
      </c>
      <c r="F14" s="38">
        <v>15654</v>
      </c>
      <c r="G14" s="31">
        <v>16279</v>
      </c>
      <c r="H14" s="21">
        <f t="shared" si="2"/>
        <v>625</v>
      </c>
      <c r="I14" s="71">
        <f t="shared" si="3"/>
        <v>3.9925897534176566E-2</v>
      </c>
      <c r="J14" s="38">
        <v>2259</v>
      </c>
      <c r="K14" s="31">
        <v>2141</v>
      </c>
      <c r="L14" s="21">
        <f t="shared" si="4"/>
        <v>-118</v>
      </c>
      <c r="M14" s="71">
        <f t="shared" si="5"/>
        <v>-5.2235502434705622E-2</v>
      </c>
      <c r="N14" s="38">
        <f t="shared" si="9"/>
        <v>29639</v>
      </c>
      <c r="O14" s="34">
        <f t="shared" si="6"/>
        <v>31678</v>
      </c>
      <c r="P14" s="21">
        <f t="shared" si="7"/>
        <v>2039</v>
      </c>
      <c r="Q14" s="71">
        <f t="shared" si="8"/>
        <v>6.8794493741354296E-2</v>
      </c>
    </row>
    <row r="15" spans="1:17" ht="11.25" customHeight="1">
      <c r="A15" s="20" t="s">
        <v>10</v>
      </c>
      <c r="B15" s="38">
        <v>11747</v>
      </c>
      <c r="C15" s="31">
        <v>11537</v>
      </c>
      <c r="D15" s="21">
        <f t="shared" si="0"/>
        <v>-210</v>
      </c>
      <c r="E15" s="71">
        <f t="shared" si="1"/>
        <v>-1.7876904741636161E-2</v>
      </c>
      <c r="F15" s="38">
        <v>16830</v>
      </c>
      <c r="G15" s="31">
        <v>15741</v>
      </c>
      <c r="H15" s="21">
        <f t="shared" si="2"/>
        <v>-1089</v>
      </c>
      <c r="I15" s="71">
        <f t="shared" si="3"/>
        <v>-6.4705882352941183E-2</v>
      </c>
      <c r="J15" s="38">
        <v>2436</v>
      </c>
      <c r="K15" s="31">
        <v>2161</v>
      </c>
      <c r="L15" s="21">
        <f t="shared" si="4"/>
        <v>-275</v>
      </c>
      <c r="M15" s="71">
        <f t="shared" si="5"/>
        <v>-0.11288998357963875</v>
      </c>
      <c r="N15" s="38">
        <f t="shared" si="9"/>
        <v>31013</v>
      </c>
      <c r="O15" s="34">
        <f t="shared" si="6"/>
        <v>29439</v>
      </c>
      <c r="P15" s="21">
        <f t="shared" si="7"/>
        <v>-1574</v>
      </c>
      <c r="Q15" s="71">
        <f t="shared" si="8"/>
        <v>-5.075291006997066E-2</v>
      </c>
    </row>
    <row r="16" spans="1:17" ht="11.25" customHeight="1">
      <c r="A16" s="27" t="s">
        <v>11</v>
      </c>
      <c r="B16" s="40">
        <v>12589</v>
      </c>
      <c r="C16" s="32">
        <v>12032</v>
      </c>
      <c r="D16" s="22">
        <f t="shared" si="0"/>
        <v>-557</v>
      </c>
      <c r="E16" s="72">
        <f t="shared" si="1"/>
        <v>-4.4244975772499799E-2</v>
      </c>
      <c r="F16" s="40">
        <v>18956</v>
      </c>
      <c r="G16" s="32">
        <v>15431</v>
      </c>
      <c r="H16" s="22">
        <f t="shared" si="2"/>
        <v>-3525</v>
      </c>
      <c r="I16" s="72">
        <f t="shared" si="3"/>
        <v>-0.18595695294365899</v>
      </c>
      <c r="J16" s="40">
        <v>2397</v>
      </c>
      <c r="K16" s="32">
        <v>1945</v>
      </c>
      <c r="L16" s="22">
        <f t="shared" si="4"/>
        <v>-452</v>
      </c>
      <c r="M16" s="72">
        <f t="shared" si="5"/>
        <v>-0.18856904463913224</v>
      </c>
      <c r="N16" s="40">
        <f t="shared" si="9"/>
        <v>33942</v>
      </c>
      <c r="O16" s="35">
        <f t="shared" si="6"/>
        <v>29408</v>
      </c>
      <c r="P16" s="22">
        <f t="shared" si="7"/>
        <v>-4534</v>
      </c>
      <c r="Q16" s="72">
        <f t="shared" si="8"/>
        <v>-0.1335808143303282</v>
      </c>
    </row>
    <row r="17" spans="1:21" ht="11.25" customHeight="1">
      <c r="A17" s="20" t="s">
        <v>12</v>
      </c>
      <c r="B17" s="38">
        <v>11709</v>
      </c>
      <c r="C17" s="31">
        <v>12816</v>
      </c>
      <c r="D17" s="21">
        <f t="shared" si="0"/>
        <v>1107</v>
      </c>
      <c r="E17" s="71">
        <f t="shared" si="1"/>
        <v>9.4542659492697925E-2</v>
      </c>
      <c r="F17" s="38">
        <v>16546</v>
      </c>
      <c r="G17" s="31">
        <v>15334</v>
      </c>
      <c r="H17" s="21">
        <f t="shared" si="2"/>
        <v>-1212</v>
      </c>
      <c r="I17" s="71">
        <f t="shared" si="3"/>
        <v>-7.3250332406623958E-2</v>
      </c>
      <c r="J17" s="38">
        <v>2516</v>
      </c>
      <c r="K17" s="31">
        <v>2324</v>
      </c>
      <c r="L17" s="21">
        <f t="shared" si="4"/>
        <v>-192</v>
      </c>
      <c r="M17" s="71">
        <f t="shared" si="5"/>
        <v>-7.6311605723370424E-2</v>
      </c>
      <c r="N17" s="38">
        <f t="shared" si="9"/>
        <v>30771</v>
      </c>
      <c r="O17" s="34">
        <f t="shared" si="6"/>
        <v>30474</v>
      </c>
      <c r="P17" s="21">
        <f t="shared" si="7"/>
        <v>-297</v>
      </c>
      <c r="Q17" s="71">
        <f t="shared" si="8"/>
        <v>-9.6519450131617428E-3</v>
      </c>
    </row>
    <row r="18" spans="1:21" ht="11.25" customHeight="1">
      <c r="A18" s="20" t="s">
        <v>13</v>
      </c>
      <c r="B18" s="38">
        <v>10041</v>
      </c>
      <c r="C18" s="31">
        <v>10103</v>
      </c>
      <c r="D18" s="21">
        <f t="shared" si="0"/>
        <v>62</v>
      </c>
      <c r="E18" s="71">
        <f t="shared" si="1"/>
        <v>6.1746837964346182E-3</v>
      </c>
      <c r="F18" s="38">
        <v>13266</v>
      </c>
      <c r="G18" s="31">
        <v>10376</v>
      </c>
      <c r="H18" s="21">
        <f t="shared" si="2"/>
        <v>-2890</v>
      </c>
      <c r="I18" s="71">
        <f t="shared" si="3"/>
        <v>-0.21785014322327756</v>
      </c>
      <c r="J18" s="38">
        <v>2508</v>
      </c>
      <c r="K18" s="31">
        <v>2041</v>
      </c>
      <c r="L18" s="21">
        <f t="shared" si="4"/>
        <v>-467</v>
      </c>
      <c r="M18" s="71">
        <f t="shared" si="5"/>
        <v>-0.18620414673046251</v>
      </c>
      <c r="N18" s="38">
        <f t="shared" si="9"/>
        <v>25815</v>
      </c>
      <c r="O18" s="34">
        <f t="shared" si="6"/>
        <v>22520</v>
      </c>
      <c r="P18" s="21">
        <f t="shared" si="7"/>
        <v>-3295</v>
      </c>
      <c r="Q18" s="71">
        <f t="shared" si="8"/>
        <v>-0.12763896959132287</v>
      </c>
    </row>
    <row r="19" spans="1:21" ht="11.25" customHeight="1">
      <c r="A19" s="27" t="s">
        <v>14</v>
      </c>
      <c r="B19" s="40">
        <v>11161</v>
      </c>
      <c r="C19" s="32">
        <v>12151</v>
      </c>
      <c r="D19" s="22">
        <f t="shared" si="0"/>
        <v>990</v>
      </c>
      <c r="E19" s="72">
        <f t="shared" si="1"/>
        <v>8.8701729235731566E-2</v>
      </c>
      <c r="F19" s="40">
        <v>16851</v>
      </c>
      <c r="G19" s="32">
        <v>14765</v>
      </c>
      <c r="H19" s="22">
        <f t="shared" si="2"/>
        <v>-2086</v>
      </c>
      <c r="I19" s="72">
        <f t="shared" si="3"/>
        <v>-0.1237908729452258</v>
      </c>
      <c r="J19" s="40">
        <v>2199</v>
      </c>
      <c r="K19" s="32">
        <v>1981</v>
      </c>
      <c r="L19" s="22">
        <f t="shared" si="4"/>
        <v>-218</v>
      </c>
      <c r="M19" s="72">
        <f t="shared" si="5"/>
        <v>-9.913597089586175E-2</v>
      </c>
      <c r="N19" s="40">
        <f t="shared" si="9"/>
        <v>30211</v>
      </c>
      <c r="O19" s="35">
        <f t="shared" si="6"/>
        <v>28897</v>
      </c>
      <c r="P19" s="22">
        <f t="shared" si="7"/>
        <v>-1314</v>
      </c>
      <c r="Q19" s="72">
        <f t="shared" si="8"/>
        <v>-4.3494091556055742E-2</v>
      </c>
    </row>
    <row r="20" spans="1:21" ht="11.25" customHeight="1">
      <c r="A20" s="20" t="s">
        <v>15</v>
      </c>
      <c r="B20" s="38">
        <v>13419</v>
      </c>
      <c r="C20" s="31"/>
      <c r="D20" s="21" t="str">
        <f t="shared" si="0"/>
        <v/>
      </c>
      <c r="E20" s="71" t="str">
        <f t="shared" si="1"/>
        <v/>
      </c>
      <c r="F20" s="38">
        <v>18594</v>
      </c>
      <c r="G20" s="31"/>
      <c r="H20" s="21" t="str">
        <f t="shared" si="2"/>
        <v/>
      </c>
      <c r="I20" s="71" t="str">
        <f t="shared" si="3"/>
        <v/>
      </c>
      <c r="J20" s="38">
        <v>2611</v>
      </c>
      <c r="K20" s="31"/>
      <c r="L20" s="21" t="str">
        <f t="shared" si="4"/>
        <v/>
      </c>
      <c r="M20" s="71" t="str">
        <f t="shared" si="5"/>
        <v/>
      </c>
      <c r="N20" s="38">
        <f t="shared" si="9"/>
        <v>34624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v>12100</v>
      </c>
      <c r="C21" s="31"/>
      <c r="D21" s="21" t="str">
        <f t="shared" si="0"/>
        <v/>
      </c>
      <c r="E21" s="71" t="str">
        <f t="shared" si="1"/>
        <v/>
      </c>
      <c r="F21" s="38">
        <v>17883</v>
      </c>
      <c r="G21" s="31"/>
      <c r="H21" s="21" t="str">
        <f t="shared" si="2"/>
        <v/>
      </c>
      <c r="I21" s="71" t="str">
        <f t="shared" si="3"/>
        <v/>
      </c>
      <c r="J21" s="38">
        <v>2416</v>
      </c>
      <c r="K21" s="31"/>
      <c r="L21" s="21" t="str">
        <f t="shared" si="4"/>
        <v/>
      </c>
      <c r="M21" s="71" t="str">
        <f t="shared" si="5"/>
        <v/>
      </c>
      <c r="N21" s="38">
        <f t="shared" si="9"/>
        <v>32399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v>9437</v>
      </c>
      <c r="C22" s="33"/>
      <c r="D22" s="21" t="str">
        <f t="shared" si="0"/>
        <v/>
      </c>
      <c r="E22" s="57" t="str">
        <f t="shared" si="1"/>
        <v/>
      </c>
      <c r="F22" s="39">
        <v>14738</v>
      </c>
      <c r="G22" s="33"/>
      <c r="H22" s="21" t="str">
        <f t="shared" si="2"/>
        <v/>
      </c>
      <c r="I22" s="57" t="str">
        <f t="shared" si="3"/>
        <v/>
      </c>
      <c r="J22" s="39">
        <v>2121</v>
      </c>
      <c r="K22" s="33"/>
      <c r="L22" s="21" t="str">
        <f t="shared" si="4"/>
        <v/>
      </c>
      <c r="M22" s="57" t="str">
        <f t="shared" si="5"/>
        <v/>
      </c>
      <c r="N22" s="39">
        <f t="shared" si="9"/>
        <v>26296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104225</v>
      </c>
      <c r="C23" s="42">
        <f>IF(C11="","",SUM(C11:C22))</f>
        <v>107980</v>
      </c>
      <c r="D23" s="43">
        <f>IF(D11="","",SUM(D11:D22))</f>
        <v>3755</v>
      </c>
      <c r="E23" s="64">
        <f t="shared" si="1"/>
        <v>3.6027824418325735E-2</v>
      </c>
      <c r="F23" s="41">
        <f>IF(G24&lt;7,F24,F25)</f>
        <v>153463</v>
      </c>
      <c r="G23" s="42">
        <f>IF(G11="","",SUM(G11:G22))</f>
        <v>137583</v>
      </c>
      <c r="H23" s="43">
        <f>IF(H11="","",SUM(H11:H22))</f>
        <v>-15880</v>
      </c>
      <c r="I23" s="64">
        <f t="shared" si="3"/>
        <v>-0.10347771123984283</v>
      </c>
      <c r="J23" s="41">
        <f>IF(K24&lt;7,J24,J25)</f>
        <v>22646</v>
      </c>
      <c r="K23" s="42">
        <f>IF(K11="","",SUM(K11:K22))</f>
        <v>18949</v>
      </c>
      <c r="L23" s="43">
        <f>IF(L11="","",SUM(L11:L22))</f>
        <v>-3697</v>
      </c>
      <c r="M23" s="64">
        <f t="shared" si="5"/>
        <v>-0.16325178839530161</v>
      </c>
      <c r="N23" s="41">
        <f>IF(O24&lt;7,N24,N25)</f>
        <v>280334</v>
      </c>
      <c r="O23" s="42">
        <f>IF(O11="","",SUM(O11:O22))</f>
        <v>264512</v>
      </c>
      <c r="P23" s="43">
        <f>IF(P11="","",SUM(P11:P22))</f>
        <v>-15822</v>
      </c>
      <c r="Q23" s="64">
        <f t="shared" si="8"/>
        <v>-5.6439818216841339E-2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104225</v>
      </c>
      <c r="F25" s="91">
        <f>IF(G24=7,SUM(F11:F17),IF(G24=8,SUM(F11:F18),IF(G24=9,SUM(F11:F19),IF(G24=10,SUM(F11:F20),IF(G24=11,SUM(F11:F21),SUM(F11:F22))))))</f>
        <v>153463</v>
      </c>
      <c r="J25" s="91">
        <f>IF(K24=7,SUM(J11:J17),IF(K24=8,SUM(J11:J18),IF(K24=9,SUM(J11:J19),IF(K24=10,SUM(J11:J20),IF(K24=11,SUM(J11:J21),SUM(J11:J22))))))</f>
        <v>22646</v>
      </c>
      <c r="N25" s="91">
        <f>IF(O24=7,SUM(N11:N17),IF(O24=8,SUM(N11:N18),IF(O24=9,SUM(N11:N19),IF(O24=10,SUM(N11:N20),IF(O24=11,SUM(N11:N21),SUM(N11:N22))))))</f>
        <v>280334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8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  <c r="T29" s="54"/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18" t="s">
        <v>23</v>
      </c>
      <c r="S30" s="119"/>
      <c r="T30" s="55"/>
    </row>
    <row r="31" spans="1:21" ht="11.25" customHeight="1">
      <c r="A31" s="20" t="s">
        <v>6</v>
      </c>
      <c r="B31" s="78">
        <f>IF(C11="","",B11/$R31)</f>
        <v>502.18181818181819</v>
      </c>
      <c r="C31" s="81">
        <f>IF(C11="","",C11/$S31)</f>
        <v>549.31818181818187</v>
      </c>
      <c r="D31" s="77">
        <f>IF(C31="","",C31-B31)</f>
        <v>47.136363636363683</v>
      </c>
      <c r="E31" s="73">
        <f>IF(C31="","",(C31-B31)/ABS(B31))</f>
        <v>9.3863142650253528E-2</v>
      </c>
      <c r="F31" s="78">
        <f>IF(G11="","",F11/$R31)</f>
        <v>743.59090909090912</v>
      </c>
      <c r="G31" s="81">
        <f>IF(G11="","",G11/$S31)</f>
        <v>784.27272727272725</v>
      </c>
      <c r="H31" s="96">
        <f>IF(G31="","",G31-F31)</f>
        <v>40.68181818181813</v>
      </c>
      <c r="I31" s="73">
        <f>IF(G31="","",(G31-F31)/ABS(F31))</f>
        <v>5.4709945595696488E-2</v>
      </c>
      <c r="J31" s="78">
        <f>IF(K11="","",J11/$R31)</f>
        <v>119.27272727272727</v>
      </c>
      <c r="K31" s="81">
        <f>IF(K11="","",K11/$S31)</f>
        <v>102.22727272727273</v>
      </c>
      <c r="L31" s="96">
        <f>IF(K31="","",K31-J31)</f>
        <v>-17.045454545454533</v>
      </c>
      <c r="M31" s="73">
        <f>IF(K31="","",(K31-J31)/ABS(J31))</f>
        <v>-0.14291158536585355</v>
      </c>
      <c r="N31" s="78">
        <f>IF(O11="","",N11/$R31)</f>
        <v>1365.0454545454545</v>
      </c>
      <c r="O31" s="81">
        <f>IF(O11="","",O11/$S31)</f>
        <v>1435.8181818181818</v>
      </c>
      <c r="P31" s="96">
        <f>IF(O31="","",O31-N31)</f>
        <v>70.772727272727252</v>
      </c>
      <c r="Q31" s="71">
        <f>IF(O31="","",(O31-N31)/ABS(N31))</f>
        <v>5.1846425360460843E-2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ref="B32:B42" si="10">IF(C12="","",B12/$R32)</f>
        <v>537.57142857142856</v>
      </c>
      <c r="C32" s="81">
        <f t="shared" ref="C32:C42" si="11">IF(C12="","",C12/$S32)</f>
        <v>581.35</v>
      </c>
      <c r="D32" s="77">
        <f t="shared" ref="D32:D42" si="12">IF(C32="","",C32-B32)</f>
        <v>43.778571428571468</v>
      </c>
      <c r="E32" s="73">
        <f t="shared" ref="E32:E43" si="13">IF(C32="","",(C32-B32)/ABS(B32))</f>
        <v>8.1437682699973507E-2</v>
      </c>
      <c r="F32" s="78">
        <f t="shared" ref="F32:F42" si="14">IF(G12="","",F12/$R32)</f>
        <v>879.95238095238096</v>
      </c>
      <c r="G32" s="81">
        <f t="shared" ref="G32:G42" si="15">IF(G12="","",G12/$S32)</f>
        <v>790.7</v>
      </c>
      <c r="H32" s="96">
        <f t="shared" ref="H32:H42" si="16">IF(G32="","",G32-F32)</f>
        <v>-89.252380952380918</v>
      </c>
      <c r="I32" s="73">
        <f t="shared" ref="I32:I43" si="17">IF(G32="","",(G32-F32)/ABS(F32))</f>
        <v>-0.10142864873640345</v>
      </c>
      <c r="J32" s="78">
        <f t="shared" ref="J32:J42" si="18">IF(K12="","",J12/$R32)</f>
        <v>131.57142857142858</v>
      </c>
      <c r="K32" s="81">
        <f t="shared" ref="K32:K42" si="19">IF(K12="","",K12/$S32)</f>
        <v>102.7</v>
      </c>
      <c r="L32" s="96">
        <f t="shared" ref="L32:L42" si="20">IF(K32="","",K32-J32)</f>
        <v>-28.871428571428581</v>
      </c>
      <c r="M32" s="73">
        <f t="shared" ref="M32:M43" si="21">IF(K32="","",(K32-J32)/ABS(J32))</f>
        <v>-0.21943539630836054</v>
      </c>
      <c r="N32" s="78">
        <f t="shared" ref="N32:N42" si="22">IF(O12="","",N12/$R32)</f>
        <v>1549.0952380952381</v>
      </c>
      <c r="O32" s="81">
        <f t="shared" ref="O32:O42" si="23">IF(O12="","",O12/$S32)</f>
        <v>1474.75</v>
      </c>
      <c r="P32" s="96">
        <f t="shared" ref="P32:P42" si="24">IF(O32="","",O32-N32)</f>
        <v>-74.345238095238074</v>
      </c>
      <c r="Q32" s="71">
        <f t="shared" ref="Q32:Q43" si="25">IF(O32="","",(O32-N32)/ABS(N32))</f>
        <v>-4.7992683901509313E-2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587.0454545454545</v>
      </c>
      <c r="C33" s="82">
        <f t="shared" si="11"/>
        <v>618.54999999999995</v>
      </c>
      <c r="D33" s="84">
        <f t="shared" si="12"/>
        <v>31.50454545454545</v>
      </c>
      <c r="E33" s="74">
        <f t="shared" si="13"/>
        <v>5.3666279519938055E-2</v>
      </c>
      <c r="F33" s="79">
        <f t="shared" si="14"/>
        <v>932.81818181818187</v>
      </c>
      <c r="G33" s="82">
        <f t="shared" si="15"/>
        <v>829.45</v>
      </c>
      <c r="H33" s="97">
        <f t="shared" si="16"/>
        <v>-103.36818181818182</v>
      </c>
      <c r="I33" s="74">
        <f t="shared" si="17"/>
        <v>-0.11081278627814053</v>
      </c>
      <c r="J33" s="79">
        <f t="shared" si="18"/>
        <v>133.81818181818181</v>
      </c>
      <c r="K33" s="82">
        <f t="shared" si="19"/>
        <v>102.65</v>
      </c>
      <c r="L33" s="97">
        <f t="shared" si="20"/>
        <v>-31.168181818181807</v>
      </c>
      <c r="M33" s="74">
        <f t="shared" si="21"/>
        <v>-0.23291440217391296</v>
      </c>
      <c r="N33" s="79">
        <f t="shared" si="22"/>
        <v>1653.6818181818182</v>
      </c>
      <c r="O33" s="82">
        <f t="shared" si="23"/>
        <v>1550.65</v>
      </c>
      <c r="P33" s="97">
        <f t="shared" si="24"/>
        <v>-103.03181818181815</v>
      </c>
      <c r="Q33" s="72">
        <f t="shared" si="25"/>
        <v>-6.2304499601440293E-2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617.15789473684208</v>
      </c>
      <c r="C34" s="81">
        <f t="shared" si="11"/>
        <v>631.33333333333337</v>
      </c>
      <c r="D34" s="77">
        <f t="shared" si="12"/>
        <v>14.17543859649129</v>
      </c>
      <c r="E34" s="73">
        <f t="shared" si="13"/>
        <v>2.2968901017681606E-2</v>
      </c>
      <c r="F34" s="78">
        <f t="shared" si="14"/>
        <v>823.89473684210532</v>
      </c>
      <c r="G34" s="81">
        <f t="shared" si="15"/>
        <v>775.19047619047615</v>
      </c>
      <c r="H34" s="96">
        <f t="shared" si="16"/>
        <v>-48.70426065162917</v>
      </c>
      <c r="I34" s="73">
        <f t="shared" si="17"/>
        <v>-5.9114664135745121E-2</v>
      </c>
      <c r="J34" s="78">
        <f t="shared" si="18"/>
        <v>118.89473684210526</v>
      </c>
      <c r="K34" s="81">
        <f t="shared" si="19"/>
        <v>101.95238095238095</v>
      </c>
      <c r="L34" s="96">
        <f t="shared" si="20"/>
        <v>-16.942355889724311</v>
      </c>
      <c r="M34" s="73">
        <f t="shared" si="21"/>
        <v>-0.14249878791711462</v>
      </c>
      <c r="N34" s="78">
        <f t="shared" si="22"/>
        <v>1559.9473684210527</v>
      </c>
      <c r="O34" s="81">
        <f t="shared" si="23"/>
        <v>1508.4761904761904</v>
      </c>
      <c r="P34" s="96">
        <f t="shared" si="24"/>
        <v>-51.471177944862347</v>
      </c>
      <c r="Q34" s="71">
        <f t="shared" si="25"/>
        <v>-3.2995458043536707E-2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587.35</v>
      </c>
      <c r="C35" s="81">
        <f t="shared" si="11"/>
        <v>576.85</v>
      </c>
      <c r="D35" s="77">
        <f t="shared" si="12"/>
        <v>-10.5</v>
      </c>
      <c r="E35" s="73">
        <f t="shared" si="13"/>
        <v>-1.7876904741636161E-2</v>
      </c>
      <c r="F35" s="78">
        <f t="shared" si="14"/>
        <v>841.5</v>
      </c>
      <c r="G35" s="81">
        <f t="shared" si="15"/>
        <v>787.05</v>
      </c>
      <c r="H35" s="96">
        <f t="shared" si="16"/>
        <v>-54.450000000000045</v>
      </c>
      <c r="I35" s="73">
        <f t="shared" si="17"/>
        <v>-6.4705882352941224E-2</v>
      </c>
      <c r="J35" s="78">
        <f t="shared" si="18"/>
        <v>121.8</v>
      </c>
      <c r="K35" s="81">
        <f t="shared" si="19"/>
        <v>108.05</v>
      </c>
      <c r="L35" s="96">
        <f t="shared" si="20"/>
        <v>-13.75</v>
      </c>
      <c r="M35" s="73">
        <f t="shared" si="21"/>
        <v>-0.11288998357963875</v>
      </c>
      <c r="N35" s="78">
        <f t="shared" si="22"/>
        <v>1550.65</v>
      </c>
      <c r="O35" s="81">
        <f t="shared" si="23"/>
        <v>1471.95</v>
      </c>
      <c r="P35" s="96">
        <f t="shared" si="24"/>
        <v>-78.700000000000045</v>
      </c>
      <c r="Q35" s="71">
        <f t="shared" si="25"/>
        <v>-5.0752910069970687E-2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599.47619047619048</v>
      </c>
      <c r="C36" s="82">
        <f t="shared" si="11"/>
        <v>601.6</v>
      </c>
      <c r="D36" s="84">
        <f t="shared" si="12"/>
        <v>2.1238095238095411</v>
      </c>
      <c r="E36" s="74">
        <f t="shared" si="13"/>
        <v>3.5427754388752375E-3</v>
      </c>
      <c r="F36" s="79">
        <f t="shared" si="14"/>
        <v>902.66666666666663</v>
      </c>
      <c r="G36" s="82">
        <f t="shared" si="15"/>
        <v>771.55</v>
      </c>
      <c r="H36" s="97">
        <f t="shared" si="16"/>
        <v>-131.11666666666667</v>
      </c>
      <c r="I36" s="74">
        <f t="shared" si="17"/>
        <v>-0.14525480059084198</v>
      </c>
      <c r="J36" s="79">
        <f t="shared" si="18"/>
        <v>114.14285714285714</v>
      </c>
      <c r="K36" s="82">
        <f t="shared" si="19"/>
        <v>97.25</v>
      </c>
      <c r="L36" s="97">
        <f t="shared" si="20"/>
        <v>-16.892857142857139</v>
      </c>
      <c r="M36" s="74">
        <f t="shared" si="21"/>
        <v>-0.14799749687108882</v>
      </c>
      <c r="N36" s="79">
        <f t="shared" si="22"/>
        <v>1616.2857142857142</v>
      </c>
      <c r="O36" s="82">
        <f t="shared" si="23"/>
        <v>1470.4</v>
      </c>
      <c r="P36" s="97">
        <f t="shared" si="24"/>
        <v>-145.88571428571413</v>
      </c>
      <c r="Q36" s="72">
        <f t="shared" si="25"/>
        <v>-9.0259855046844528E-2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532.22727272727275</v>
      </c>
      <c r="C37" s="81">
        <f t="shared" si="11"/>
        <v>557.21739130434787</v>
      </c>
      <c r="D37" s="77">
        <f t="shared" si="12"/>
        <v>24.990118577075123</v>
      </c>
      <c r="E37" s="73">
        <f t="shared" si="13"/>
        <v>4.6953848210406754E-2</v>
      </c>
      <c r="F37" s="78">
        <f t="shared" si="14"/>
        <v>752.09090909090912</v>
      </c>
      <c r="G37" s="81">
        <f t="shared" si="15"/>
        <v>666.695652173913</v>
      </c>
      <c r="H37" s="96">
        <f t="shared" si="16"/>
        <v>-85.395256916996118</v>
      </c>
      <c r="I37" s="73">
        <f t="shared" si="17"/>
        <v>-0.1135437962150317</v>
      </c>
      <c r="J37" s="78">
        <f t="shared" si="18"/>
        <v>114.36363636363636</v>
      </c>
      <c r="K37" s="81">
        <f t="shared" si="19"/>
        <v>101.04347826086956</v>
      </c>
      <c r="L37" s="96">
        <f t="shared" si="20"/>
        <v>-13.320158102766797</v>
      </c>
      <c r="M37" s="73">
        <f t="shared" si="21"/>
        <v>-0.11647197069191953</v>
      </c>
      <c r="N37" s="78">
        <f t="shared" si="22"/>
        <v>1398.6818181818182</v>
      </c>
      <c r="O37" s="81">
        <f t="shared" si="23"/>
        <v>1324.9565217391305</v>
      </c>
      <c r="P37" s="96">
        <f t="shared" si="24"/>
        <v>-73.72529644268775</v>
      </c>
      <c r="Q37" s="71">
        <f t="shared" si="25"/>
        <v>-5.2710556099546016E-2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456.40909090909093</v>
      </c>
      <c r="C38" s="81">
        <f t="shared" si="11"/>
        <v>481.09523809523807</v>
      </c>
      <c r="D38" s="77">
        <f t="shared" si="12"/>
        <v>24.686147186147139</v>
      </c>
      <c r="E38" s="73">
        <f t="shared" si="13"/>
        <v>5.408776397721711E-2</v>
      </c>
      <c r="F38" s="78">
        <f t="shared" si="14"/>
        <v>603</v>
      </c>
      <c r="G38" s="81">
        <f t="shared" si="15"/>
        <v>494.09523809523807</v>
      </c>
      <c r="H38" s="96">
        <f t="shared" si="16"/>
        <v>-108.90476190476193</v>
      </c>
      <c r="I38" s="73">
        <f t="shared" si="17"/>
        <v>-0.18060491194819556</v>
      </c>
      <c r="J38" s="78">
        <f t="shared" si="18"/>
        <v>114</v>
      </c>
      <c r="K38" s="81">
        <f t="shared" si="19"/>
        <v>97.19047619047619</v>
      </c>
      <c r="L38" s="96">
        <f t="shared" si="20"/>
        <v>-16.80952380952381</v>
      </c>
      <c r="M38" s="73">
        <f t="shared" si="21"/>
        <v>-0.14745196324143695</v>
      </c>
      <c r="N38" s="78">
        <f t="shared" si="22"/>
        <v>1173.409090909091</v>
      </c>
      <c r="O38" s="81">
        <f t="shared" si="23"/>
        <v>1072.3809523809523</v>
      </c>
      <c r="P38" s="96">
        <f t="shared" si="24"/>
        <v>-101.0281385281387</v>
      </c>
      <c r="Q38" s="71">
        <f t="shared" si="25"/>
        <v>-8.6097968143290765E-2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558.04999999999995</v>
      </c>
      <c r="C39" s="82">
        <f t="shared" si="11"/>
        <v>578.61904761904759</v>
      </c>
      <c r="D39" s="84">
        <f t="shared" si="12"/>
        <v>20.569047619047637</v>
      </c>
      <c r="E39" s="74">
        <f t="shared" si="13"/>
        <v>3.6858789748315815E-2</v>
      </c>
      <c r="F39" s="79">
        <f t="shared" si="14"/>
        <v>842.55</v>
      </c>
      <c r="G39" s="82">
        <f t="shared" si="15"/>
        <v>703.09523809523807</v>
      </c>
      <c r="H39" s="97">
        <f t="shared" si="16"/>
        <v>-139.45476190476188</v>
      </c>
      <c r="I39" s="74">
        <f t="shared" si="17"/>
        <v>-0.16551511709069122</v>
      </c>
      <c r="J39" s="79">
        <f t="shared" si="18"/>
        <v>109.95</v>
      </c>
      <c r="K39" s="82">
        <f t="shared" si="19"/>
        <v>94.333333333333329</v>
      </c>
      <c r="L39" s="97">
        <f t="shared" si="20"/>
        <v>-15.616666666666674</v>
      </c>
      <c r="M39" s="74">
        <f t="shared" si="21"/>
        <v>-0.14203425799605887</v>
      </c>
      <c r="N39" s="79">
        <f t="shared" si="22"/>
        <v>1510.55</v>
      </c>
      <c r="O39" s="82">
        <f t="shared" si="23"/>
        <v>1376.047619047619</v>
      </c>
      <c r="P39" s="97">
        <f t="shared" si="24"/>
        <v>-134.50238095238092</v>
      </c>
      <c r="Q39" s="72">
        <f t="shared" si="25"/>
        <v>-8.9041991958148312E-2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AVERAGE(B31:B42)</f>
        <v>553.052127794233</v>
      </c>
      <c r="C43" s="83">
        <f>IF(C11="","",AVERAGE(C31:C42))</f>
        <v>575.10368801890536</v>
      </c>
      <c r="D43" s="75">
        <f>IF(D31="","",AVERAGE(D31:D42))</f>
        <v>22.051560224672372</v>
      </c>
      <c r="E43" s="65">
        <f t="shared" si="13"/>
        <v>3.9872480579040095E-2</v>
      </c>
      <c r="F43" s="80">
        <f>AVERAGE(F31:F42)</f>
        <v>813.56264271790599</v>
      </c>
      <c r="G43" s="83">
        <f>IF(G11="","",AVERAGE(G31:G42))</f>
        <v>733.56659242528826</v>
      </c>
      <c r="H43" s="98">
        <f>IF(H31="","",AVERAGE(H31:H42))</f>
        <v>-79.996050292617824</v>
      </c>
      <c r="I43" s="65">
        <f t="shared" si="17"/>
        <v>-9.8328077141510886E-2</v>
      </c>
      <c r="J43" s="80">
        <f>AVERAGE(J31:J42)</f>
        <v>119.75706311232628</v>
      </c>
      <c r="K43" s="83">
        <f>IF(K11="","",AVERAGE(K31:K42))</f>
        <v>100.82188238492587</v>
      </c>
      <c r="L43" s="98">
        <f>IF(L31="","",AVERAGE(L31:L42))</f>
        <v>-18.935180727400407</v>
      </c>
      <c r="M43" s="65">
        <f t="shared" si="21"/>
        <v>-0.1581132689404727</v>
      </c>
      <c r="N43" s="80">
        <f>AVERAGE(N31:N42)</f>
        <v>1486.3718336244649</v>
      </c>
      <c r="O43" s="83">
        <f>IF(O11="","",AVERAGE(O31:O42))</f>
        <v>1409.4921628291193</v>
      </c>
      <c r="P43" s="98">
        <f>IF(P31="","",AVERAGE(P31:P42))</f>
        <v>-76.879670795345874</v>
      </c>
      <c r="Q43" s="66">
        <f t="shared" si="25"/>
        <v>-5.1723040665993585E-2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29"/>
    </row>
    <row r="45" spans="1:21" ht="11.25" customHeight="1">
      <c r="A45"/>
      <c r="B45"/>
      <c r="C45"/>
      <c r="D45"/>
      <c r="E45"/>
      <c r="F45"/>
      <c r="G45" s="76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  <mergeCell ref="B2:E2"/>
    <mergeCell ref="B3:C3"/>
    <mergeCell ref="D3:E3"/>
    <mergeCell ref="B28:E28"/>
    <mergeCell ref="B26:E27"/>
    <mergeCell ref="B6:E7"/>
    <mergeCell ref="D9:E9"/>
  </mergeCells>
  <phoneticPr fontId="0" type="noConversion"/>
  <conditionalFormatting sqref="J13:J22 B13:B16 F13:F22 N13:N22 B18:B21">
    <cfRule type="expression" dxfId="58" priority="3" stopIfTrue="1">
      <formula>C13=""</formula>
    </cfRule>
  </conditionalFormatting>
  <conditionalFormatting sqref="B17 B22 F12 J12 N12">
    <cfRule type="expression" dxfId="57" priority="4" stopIfTrue="1">
      <formula>C12=""</formula>
    </cfRule>
  </conditionalFormatting>
  <conditionalFormatting sqref="R43:S43 S31:S42">
    <cfRule type="expression" dxfId="56" priority="5" stopIfTrue="1">
      <formula>R31&lt;$R31</formula>
    </cfRule>
    <cfRule type="expression" dxfId="55" priority="6" stopIfTrue="1">
      <formula>R31&gt;$R31</formula>
    </cfRule>
  </conditionalFormatting>
  <conditionalFormatting sqref="B12">
    <cfRule type="expression" dxfId="54" priority="7" stopIfTrue="1">
      <formula>C12=""</formula>
    </cfRule>
  </conditionalFormatting>
  <conditionalFormatting sqref="S31:S42">
    <cfRule type="expression" dxfId="53" priority="1" stopIfTrue="1">
      <formula>S31&lt;$R31</formula>
    </cfRule>
    <cfRule type="expression" dxfId="5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44" t="s">
        <v>21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5" t="s">
        <v>25</v>
      </c>
      <c r="E3" s="14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3"/>
      <c r="C5" s="53"/>
      <c r="D5" s="53"/>
      <c r="E5" s="5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42"/>
      <c r="D6" s="142"/>
      <c r="E6" s="142"/>
      <c r="F6" s="9" t="s">
        <v>32</v>
      </c>
    </row>
    <row r="7" spans="1:17" ht="11.25" customHeight="1" thickBot="1">
      <c r="B7" s="143"/>
      <c r="C7" s="143"/>
      <c r="D7" s="143"/>
      <c r="E7" s="143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3704</v>
      </c>
      <c r="C11" s="47">
        <v>3250</v>
      </c>
      <c r="D11" s="21">
        <f t="shared" ref="D11:D22" si="0">IF(C11="","",C11-B11)</f>
        <v>-454</v>
      </c>
      <c r="E11" s="71">
        <f t="shared" ref="E11:E23" si="1">IF(D11="","",D11/B11)</f>
        <v>-0.12257019438444924</v>
      </c>
      <c r="F11" s="38">
        <v>15080</v>
      </c>
      <c r="G11" s="47">
        <v>16751</v>
      </c>
      <c r="H11" s="21">
        <f t="shared" ref="H11:H22" si="2">IF(G11="","",G11-F11)</f>
        <v>1671</v>
      </c>
      <c r="I11" s="71">
        <f t="shared" ref="I11:I23" si="3">IF(H11="","",H11/F11)</f>
        <v>0.11080901856763926</v>
      </c>
      <c r="J11" s="38">
        <v>7354</v>
      </c>
      <c r="K11" s="47">
        <v>6840</v>
      </c>
      <c r="L11" s="21">
        <f t="shared" ref="L11:L22" si="4">IF(K11="","",K11-J11)</f>
        <v>-514</v>
      </c>
      <c r="M11" s="71">
        <f t="shared" ref="M11:M23" si="5">IF(L11="","",L11/J11)</f>
        <v>-6.9893935273320648E-2</v>
      </c>
      <c r="N11" s="38">
        <f>SUM(B11,F11,J11)</f>
        <v>26138</v>
      </c>
      <c r="O11" s="34">
        <f t="shared" ref="O11:O22" si="6">IF(C11="","",SUM(C11,G11,K11))</f>
        <v>26841</v>
      </c>
      <c r="P11" s="21">
        <f t="shared" ref="P11:P22" si="7">IF(O11="","",O11-N11)</f>
        <v>703</v>
      </c>
      <c r="Q11" s="71">
        <f t="shared" ref="Q11:Q23" si="8">IF(P11="","",P11/N11)</f>
        <v>2.6895707399188919E-2</v>
      </c>
    </row>
    <row r="12" spans="1:17" ht="11.25" customHeight="1">
      <c r="A12" s="20" t="s">
        <v>7</v>
      </c>
      <c r="B12" s="38">
        <v>3527</v>
      </c>
      <c r="C12" s="47">
        <v>3374</v>
      </c>
      <c r="D12" s="21">
        <f t="shared" si="0"/>
        <v>-153</v>
      </c>
      <c r="E12" s="71">
        <f t="shared" si="1"/>
        <v>-4.3379642755883185E-2</v>
      </c>
      <c r="F12" s="38">
        <v>17289</v>
      </c>
      <c r="G12" s="47">
        <v>15803</v>
      </c>
      <c r="H12" s="21">
        <f t="shared" si="2"/>
        <v>-1486</v>
      </c>
      <c r="I12" s="71">
        <f t="shared" si="3"/>
        <v>-8.595060443056278E-2</v>
      </c>
      <c r="J12" s="38">
        <v>7354</v>
      </c>
      <c r="K12" s="47">
        <v>6865</v>
      </c>
      <c r="L12" s="21">
        <f t="shared" si="4"/>
        <v>-489</v>
      </c>
      <c r="M12" s="71">
        <f t="shared" si="5"/>
        <v>-6.6494424802828397E-2</v>
      </c>
      <c r="N12" s="38">
        <f t="shared" ref="N12:N22" si="9">SUM(B12,F12,J12)</f>
        <v>28170</v>
      </c>
      <c r="O12" s="34">
        <f t="shared" si="6"/>
        <v>26042</v>
      </c>
      <c r="P12" s="21">
        <f t="shared" si="7"/>
        <v>-2128</v>
      </c>
      <c r="Q12" s="71">
        <f t="shared" si="8"/>
        <v>-7.5541356052538158E-2</v>
      </c>
    </row>
    <row r="13" spans="1:17" ht="11.25" customHeight="1">
      <c r="A13" s="27" t="s">
        <v>8</v>
      </c>
      <c r="B13" s="40">
        <v>3958</v>
      </c>
      <c r="C13" s="48">
        <v>3540</v>
      </c>
      <c r="D13" s="22">
        <f t="shared" si="0"/>
        <v>-418</v>
      </c>
      <c r="E13" s="72">
        <f t="shared" si="1"/>
        <v>-0.1056088933804952</v>
      </c>
      <c r="F13" s="40">
        <v>19328</v>
      </c>
      <c r="G13" s="48">
        <v>17042</v>
      </c>
      <c r="H13" s="22">
        <f t="shared" si="2"/>
        <v>-2286</v>
      </c>
      <c r="I13" s="72">
        <f t="shared" si="3"/>
        <v>-0.11827400662251655</v>
      </c>
      <c r="J13" s="40">
        <v>8339</v>
      </c>
      <c r="K13" s="48">
        <v>7053</v>
      </c>
      <c r="L13" s="22">
        <f t="shared" si="4"/>
        <v>-1286</v>
      </c>
      <c r="M13" s="72">
        <f t="shared" si="5"/>
        <v>-0.15421513370907783</v>
      </c>
      <c r="N13" s="40">
        <f t="shared" si="9"/>
        <v>31625</v>
      </c>
      <c r="O13" s="35">
        <f t="shared" si="6"/>
        <v>27635</v>
      </c>
      <c r="P13" s="22">
        <f t="shared" si="7"/>
        <v>-3990</v>
      </c>
      <c r="Q13" s="72">
        <f t="shared" si="8"/>
        <v>-0.12616600790513835</v>
      </c>
    </row>
    <row r="14" spans="1:17" ht="11.25" customHeight="1">
      <c r="A14" s="20" t="s">
        <v>9</v>
      </c>
      <c r="B14" s="38">
        <v>3484</v>
      </c>
      <c r="C14" s="47">
        <v>3787</v>
      </c>
      <c r="D14" s="21">
        <f t="shared" si="0"/>
        <v>303</v>
      </c>
      <c r="E14" s="71">
        <f t="shared" si="1"/>
        <v>8.6969001148105629E-2</v>
      </c>
      <c r="F14" s="38">
        <v>15085</v>
      </c>
      <c r="G14" s="47">
        <v>17452</v>
      </c>
      <c r="H14" s="21">
        <f t="shared" si="2"/>
        <v>2367</v>
      </c>
      <c r="I14" s="71">
        <f t="shared" si="3"/>
        <v>0.15691083858137223</v>
      </c>
      <c r="J14" s="38">
        <v>7704</v>
      </c>
      <c r="K14" s="47">
        <v>7672</v>
      </c>
      <c r="L14" s="21">
        <f t="shared" si="4"/>
        <v>-32</v>
      </c>
      <c r="M14" s="71">
        <f t="shared" si="5"/>
        <v>-4.1536863966770508E-3</v>
      </c>
      <c r="N14" s="38">
        <f t="shared" si="9"/>
        <v>26273</v>
      </c>
      <c r="O14" s="34">
        <f t="shared" si="6"/>
        <v>28911</v>
      </c>
      <c r="P14" s="21">
        <f t="shared" si="7"/>
        <v>2638</v>
      </c>
      <c r="Q14" s="71">
        <f t="shared" si="8"/>
        <v>0.10040726220835078</v>
      </c>
    </row>
    <row r="15" spans="1:17" ht="11.25" customHeight="1">
      <c r="A15" s="20" t="s">
        <v>10</v>
      </c>
      <c r="B15" s="38">
        <v>3502</v>
      </c>
      <c r="C15" s="47">
        <v>3445</v>
      </c>
      <c r="D15" s="21">
        <f t="shared" si="0"/>
        <v>-57</v>
      </c>
      <c r="E15" s="71">
        <f t="shared" si="1"/>
        <v>-1.6276413478012564E-2</v>
      </c>
      <c r="F15" s="38">
        <v>15839</v>
      </c>
      <c r="G15" s="47">
        <v>17457</v>
      </c>
      <c r="H15" s="21">
        <f t="shared" si="2"/>
        <v>1618</v>
      </c>
      <c r="I15" s="71">
        <f t="shared" si="3"/>
        <v>0.10215291369404635</v>
      </c>
      <c r="J15" s="38">
        <v>7649</v>
      </c>
      <c r="K15" s="47">
        <v>7027</v>
      </c>
      <c r="L15" s="21">
        <f t="shared" si="4"/>
        <v>-622</v>
      </c>
      <c r="M15" s="71">
        <f t="shared" si="5"/>
        <v>-8.1317819322787296E-2</v>
      </c>
      <c r="N15" s="38">
        <f t="shared" si="9"/>
        <v>26990</v>
      </c>
      <c r="O15" s="34">
        <f t="shared" si="6"/>
        <v>27929</v>
      </c>
      <c r="P15" s="21">
        <f t="shared" si="7"/>
        <v>939</v>
      </c>
      <c r="Q15" s="71">
        <f t="shared" si="8"/>
        <v>3.4790663208595779E-2</v>
      </c>
    </row>
    <row r="16" spans="1:17" ht="11.25" customHeight="1">
      <c r="A16" s="27" t="s">
        <v>11</v>
      </c>
      <c r="B16" s="40">
        <v>3709</v>
      </c>
      <c r="C16" s="48">
        <v>3816</v>
      </c>
      <c r="D16" s="22">
        <f t="shared" si="0"/>
        <v>107</v>
      </c>
      <c r="E16" s="72">
        <f t="shared" si="1"/>
        <v>2.8848746292801295E-2</v>
      </c>
      <c r="F16" s="40">
        <v>18812</v>
      </c>
      <c r="G16" s="48">
        <v>17259</v>
      </c>
      <c r="H16" s="22">
        <f t="shared" si="2"/>
        <v>-1553</v>
      </c>
      <c r="I16" s="72">
        <f t="shared" si="3"/>
        <v>-8.2553689134594946E-2</v>
      </c>
      <c r="J16" s="40">
        <v>8244</v>
      </c>
      <c r="K16" s="48">
        <v>7502</v>
      </c>
      <c r="L16" s="22">
        <f t="shared" si="4"/>
        <v>-742</v>
      </c>
      <c r="M16" s="72">
        <f t="shared" si="5"/>
        <v>-9.0004852013585643E-2</v>
      </c>
      <c r="N16" s="40">
        <f t="shared" si="9"/>
        <v>30765</v>
      </c>
      <c r="O16" s="35">
        <f t="shared" si="6"/>
        <v>28577</v>
      </c>
      <c r="P16" s="22">
        <f t="shared" si="7"/>
        <v>-2188</v>
      </c>
      <c r="Q16" s="72">
        <f t="shared" si="8"/>
        <v>-7.1119778969608319E-2</v>
      </c>
    </row>
    <row r="17" spans="1:21" ht="11.25" customHeight="1">
      <c r="A17" s="20" t="s">
        <v>12</v>
      </c>
      <c r="B17" s="38">
        <v>3581</v>
      </c>
      <c r="C17" s="47">
        <v>4031</v>
      </c>
      <c r="D17" s="21">
        <f t="shared" si="0"/>
        <v>450</v>
      </c>
      <c r="E17" s="71">
        <f t="shared" si="1"/>
        <v>0.12566322256352974</v>
      </c>
      <c r="F17" s="38">
        <v>16610</v>
      </c>
      <c r="G17" s="47">
        <v>17065</v>
      </c>
      <c r="H17" s="21">
        <f t="shared" si="2"/>
        <v>455</v>
      </c>
      <c r="I17" s="71">
        <f t="shared" si="3"/>
        <v>2.7393136664659843E-2</v>
      </c>
      <c r="J17" s="38">
        <v>7068</v>
      </c>
      <c r="K17" s="47">
        <v>7562</v>
      </c>
      <c r="L17" s="21">
        <f t="shared" si="4"/>
        <v>494</v>
      </c>
      <c r="M17" s="71">
        <f t="shared" si="5"/>
        <v>6.9892473118279563E-2</v>
      </c>
      <c r="N17" s="38">
        <f t="shared" si="9"/>
        <v>27259</v>
      </c>
      <c r="O17" s="34">
        <f t="shared" si="6"/>
        <v>28658</v>
      </c>
      <c r="P17" s="21">
        <f t="shared" si="7"/>
        <v>1399</v>
      </c>
      <c r="Q17" s="71">
        <f t="shared" si="8"/>
        <v>5.1322498991158885E-2</v>
      </c>
    </row>
    <row r="18" spans="1:21" ht="11.25" customHeight="1">
      <c r="A18" s="20" t="s">
        <v>13</v>
      </c>
      <c r="B18" s="38">
        <v>2962</v>
      </c>
      <c r="C18" s="47">
        <v>2740</v>
      </c>
      <c r="D18" s="21">
        <f t="shared" si="0"/>
        <v>-222</v>
      </c>
      <c r="E18" s="71">
        <f t="shared" si="1"/>
        <v>-7.4949358541525998E-2</v>
      </c>
      <c r="F18" s="38">
        <v>12626</v>
      </c>
      <c r="G18" s="47">
        <v>11993</v>
      </c>
      <c r="H18" s="21">
        <f t="shared" si="2"/>
        <v>-633</v>
      </c>
      <c r="I18" s="71">
        <f t="shared" si="3"/>
        <v>-5.0134642800570249E-2</v>
      </c>
      <c r="J18" s="38">
        <v>5928</v>
      </c>
      <c r="K18" s="47">
        <v>5462</v>
      </c>
      <c r="L18" s="21">
        <f t="shared" si="4"/>
        <v>-466</v>
      </c>
      <c r="M18" s="71">
        <f t="shared" si="5"/>
        <v>-7.8609986504723353E-2</v>
      </c>
      <c r="N18" s="38">
        <f t="shared" si="9"/>
        <v>21516</v>
      </c>
      <c r="O18" s="34">
        <f t="shared" si="6"/>
        <v>20195</v>
      </c>
      <c r="P18" s="21">
        <f t="shared" si="7"/>
        <v>-1321</v>
      </c>
      <c r="Q18" s="71">
        <f t="shared" si="8"/>
        <v>-6.1396170291875815E-2</v>
      </c>
    </row>
    <row r="19" spans="1:21" ht="11.25" customHeight="1">
      <c r="A19" s="27" t="s">
        <v>14</v>
      </c>
      <c r="B19" s="40">
        <v>3566</v>
      </c>
      <c r="C19" s="48">
        <v>3530</v>
      </c>
      <c r="D19" s="22">
        <f t="shared" si="0"/>
        <v>-36</v>
      </c>
      <c r="E19" s="72">
        <f t="shared" si="1"/>
        <v>-1.0095344924284913E-2</v>
      </c>
      <c r="F19" s="40">
        <v>16448</v>
      </c>
      <c r="G19" s="48">
        <v>15360</v>
      </c>
      <c r="H19" s="22">
        <f t="shared" si="2"/>
        <v>-1088</v>
      </c>
      <c r="I19" s="72">
        <f t="shared" si="3"/>
        <v>-6.6147859922178989E-2</v>
      </c>
      <c r="J19" s="40">
        <v>7160</v>
      </c>
      <c r="K19" s="48">
        <v>7103</v>
      </c>
      <c r="L19" s="22">
        <f t="shared" si="4"/>
        <v>-57</v>
      </c>
      <c r="M19" s="72">
        <f t="shared" si="5"/>
        <v>-7.9608938547486036E-3</v>
      </c>
      <c r="N19" s="40">
        <f t="shared" si="9"/>
        <v>27174</v>
      </c>
      <c r="O19" s="35">
        <f t="shared" si="6"/>
        <v>25993</v>
      </c>
      <c r="P19" s="22">
        <f t="shared" si="7"/>
        <v>-1181</v>
      </c>
      <c r="Q19" s="72">
        <f t="shared" si="8"/>
        <v>-4.346066092588504E-2</v>
      </c>
    </row>
    <row r="20" spans="1:21" ht="11.25" customHeight="1">
      <c r="A20" s="20" t="s">
        <v>15</v>
      </c>
      <c r="B20" s="38">
        <v>4019</v>
      </c>
      <c r="C20" s="47"/>
      <c r="D20" s="21" t="str">
        <f t="shared" si="0"/>
        <v/>
      </c>
      <c r="E20" s="71" t="str">
        <f t="shared" si="1"/>
        <v/>
      </c>
      <c r="F20" s="38">
        <v>18124</v>
      </c>
      <c r="G20" s="47"/>
      <c r="H20" s="21" t="str">
        <f t="shared" si="2"/>
        <v/>
      </c>
      <c r="I20" s="71" t="str">
        <f t="shared" si="3"/>
        <v/>
      </c>
      <c r="J20" s="38">
        <v>9185</v>
      </c>
      <c r="K20" s="47"/>
      <c r="L20" s="21" t="str">
        <f t="shared" si="4"/>
        <v/>
      </c>
      <c r="M20" s="71" t="str">
        <f t="shared" si="5"/>
        <v/>
      </c>
      <c r="N20" s="38">
        <f t="shared" si="9"/>
        <v>31328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v>3613</v>
      </c>
      <c r="C21" s="47"/>
      <c r="D21" s="21" t="str">
        <f t="shared" si="0"/>
        <v/>
      </c>
      <c r="E21" s="71" t="str">
        <f t="shared" si="1"/>
        <v/>
      </c>
      <c r="F21" s="38">
        <v>17196</v>
      </c>
      <c r="G21" s="47"/>
      <c r="H21" s="21" t="str">
        <f t="shared" si="2"/>
        <v/>
      </c>
      <c r="I21" s="71" t="str">
        <f t="shared" si="3"/>
        <v/>
      </c>
      <c r="J21" s="38">
        <v>7474</v>
      </c>
      <c r="K21" s="47"/>
      <c r="L21" s="21" t="str">
        <f t="shared" si="4"/>
        <v/>
      </c>
      <c r="M21" s="71" t="str">
        <f t="shared" si="5"/>
        <v/>
      </c>
      <c r="N21" s="38">
        <f t="shared" si="9"/>
        <v>28283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v>2656</v>
      </c>
      <c r="C22" s="49"/>
      <c r="D22" s="21" t="str">
        <f t="shared" si="0"/>
        <v/>
      </c>
      <c r="E22" s="57" t="str">
        <f t="shared" si="1"/>
        <v/>
      </c>
      <c r="F22" s="39">
        <v>13464</v>
      </c>
      <c r="G22" s="49"/>
      <c r="H22" s="21" t="str">
        <f t="shared" si="2"/>
        <v/>
      </c>
      <c r="I22" s="57" t="str">
        <f t="shared" si="3"/>
        <v/>
      </c>
      <c r="J22" s="39">
        <v>5976</v>
      </c>
      <c r="K22" s="49"/>
      <c r="L22" s="21" t="str">
        <f t="shared" si="4"/>
        <v/>
      </c>
      <c r="M22" s="57" t="str">
        <f t="shared" si="5"/>
        <v/>
      </c>
      <c r="N22" s="39">
        <f t="shared" si="9"/>
        <v>22096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31993</v>
      </c>
      <c r="C23" s="42">
        <f>IF(C11="","",SUM(C11:C22))</f>
        <v>31513</v>
      </c>
      <c r="D23" s="43">
        <f>IF(D11="","",SUM(D11:D22))</f>
        <v>-480</v>
      </c>
      <c r="E23" s="64">
        <f t="shared" si="1"/>
        <v>-1.5003281967930484E-2</v>
      </c>
      <c r="F23" s="41">
        <f>IF(G24&lt;7,F24,F25)</f>
        <v>147117</v>
      </c>
      <c r="G23" s="42">
        <f>IF(G11="","",SUM(G11:G22))</f>
        <v>146182</v>
      </c>
      <c r="H23" s="43">
        <f>IF(H11="","",SUM(H11:H22))</f>
        <v>-935</v>
      </c>
      <c r="I23" s="64">
        <f t="shared" si="3"/>
        <v>-6.3554857698294555E-3</v>
      </c>
      <c r="J23" s="41">
        <f>IF(K24&lt;7,J24,J25)</f>
        <v>66800</v>
      </c>
      <c r="K23" s="42">
        <f>IF(K11="","",SUM(K11:K22))</f>
        <v>63086</v>
      </c>
      <c r="L23" s="43">
        <f>IF(L11="","",SUM(L11:L22))</f>
        <v>-3714</v>
      </c>
      <c r="M23" s="64">
        <f t="shared" si="5"/>
        <v>-5.5598802395209583E-2</v>
      </c>
      <c r="N23" s="41">
        <f>IF(O24&lt;7,N24,N25)</f>
        <v>245910</v>
      </c>
      <c r="O23" s="42">
        <f>IF(O11="","",SUM(O11:O22))</f>
        <v>240781</v>
      </c>
      <c r="P23" s="43">
        <f>IF(P11="","",SUM(P11:P22))</f>
        <v>-5129</v>
      </c>
      <c r="Q23" s="64">
        <f t="shared" si="8"/>
        <v>-2.0857224187710952E-2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31993</v>
      </c>
      <c r="F25" s="91">
        <f>IF(G24=7,SUM(F11:F17),IF(G24=8,SUM(F11:F18),IF(G24=9,SUM(F11:F19),IF(G24=10,SUM(F11:F20),IF(G24=11,SUM(F11:F21),SUM(F11:F22))))))</f>
        <v>147117</v>
      </c>
      <c r="J25" s="91">
        <f>IF(K24=7,SUM(J11:J17),IF(K24=8,SUM(J11:J18),IF(K24=9,SUM(J11:J19),IF(K24=10,SUM(J11:J20),IF(K24=11,SUM(J11:J21),SUM(J11:J22))))))</f>
        <v>66800</v>
      </c>
      <c r="N25" s="91">
        <f>IF(O24=7,SUM(N11:N17),IF(O24=8,SUM(N11:N18),IF(O24=9,SUM(N11:N19),IF(O24=10,SUM(N11:N20),IF(O24=11,SUM(N11:N21),SUM(N11:N22))))))</f>
        <v>245910</v>
      </c>
    </row>
    <row r="26" spans="1:21" ht="11.25" customHeight="1">
      <c r="A26" s="7"/>
      <c r="B26" s="134" t="s">
        <v>22</v>
      </c>
      <c r="C26" s="142"/>
      <c r="D26" s="142"/>
      <c r="E26" s="142"/>
      <c r="F26" s="9" t="s">
        <v>31</v>
      </c>
    </row>
    <row r="27" spans="1:21" ht="11.25" customHeight="1" thickBot="1">
      <c r="B27" s="143"/>
      <c r="C27" s="143"/>
      <c r="D27" s="143"/>
      <c r="E27" s="143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>IF(C11="","",B11/$R31)</f>
        <v>168.36363636363637</v>
      </c>
      <c r="C31" s="81">
        <f>IF(C11="","",C11/$S31)</f>
        <v>147.72727272727272</v>
      </c>
      <c r="D31" s="77">
        <f>IF(C31="","",C31-B31)</f>
        <v>-20.636363636363654</v>
      </c>
      <c r="E31" s="73">
        <f>IF(C31="","",(C31-B31)/ABS(B31))</f>
        <v>-0.12257019438444934</v>
      </c>
      <c r="F31" s="78">
        <f>IF(G11="","",F11/$R31)</f>
        <v>685.4545454545455</v>
      </c>
      <c r="G31" s="81">
        <f>IF(G11="","",G11/$S31)</f>
        <v>761.40909090909088</v>
      </c>
      <c r="H31" s="96">
        <f>IF(G31="","",G31-F31)</f>
        <v>75.954545454545382</v>
      </c>
      <c r="I31" s="73">
        <f>IF(G31="","",(G31-F31)/ABS(F31))</f>
        <v>0.11080901856763914</v>
      </c>
      <c r="J31" s="78">
        <f>IF(K11="","",J11/$R31)</f>
        <v>334.27272727272725</v>
      </c>
      <c r="K31" s="81">
        <f>IF(K11="","",K11/$S31)</f>
        <v>310.90909090909093</v>
      </c>
      <c r="L31" s="96">
        <f>IF(K31="","",K31-J31)</f>
        <v>-23.363636363636317</v>
      </c>
      <c r="M31" s="73">
        <f>IF(K31="","",(K31-J31)/ABS(J31))</f>
        <v>-6.9893935273320509E-2</v>
      </c>
      <c r="N31" s="78">
        <f>IF(O11="","",N11/$R31)</f>
        <v>1188.090909090909</v>
      </c>
      <c r="O31" s="81">
        <f>IF(O11="","",O11/$S31)</f>
        <v>1220.0454545454545</v>
      </c>
      <c r="P31" s="96">
        <f>IF(O31="","",O31-N31)</f>
        <v>31.954545454545496</v>
      </c>
      <c r="Q31" s="71">
        <f>IF(O31="","",(O31-N31)/ABS(N31))</f>
        <v>2.6895707399188958E-2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ref="B32:B42" si="10">IF(C12="","",B12/$R32)</f>
        <v>167.95238095238096</v>
      </c>
      <c r="C32" s="81">
        <f t="shared" ref="C32:C42" si="11">IF(C12="","",C12/$S32)</f>
        <v>168.7</v>
      </c>
      <c r="D32" s="77">
        <f t="shared" ref="D32:D42" si="12">IF(C32="","",C32-B32)</f>
        <v>0.74761904761902542</v>
      </c>
      <c r="E32" s="73">
        <f t="shared" ref="E32:E43" si="13">IF(C32="","",(C32-B32)/ABS(B32))</f>
        <v>4.4513751063225216E-3</v>
      </c>
      <c r="F32" s="78">
        <f t="shared" ref="F32:F42" si="14">IF(G12="","",F12/$R32)</f>
        <v>823.28571428571433</v>
      </c>
      <c r="G32" s="81">
        <f t="shared" ref="G32:G42" si="15">IF(G12="","",G12/$S32)</f>
        <v>790.15</v>
      </c>
      <c r="H32" s="96">
        <f t="shared" ref="H32:H42" si="16">IF(G32="","",G32-F32)</f>
        <v>-33.135714285714357</v>
      </c>
      <c r="I32" s="73">
        <f t="shared" ref="I32:I43" si="17">IF(G32="","",(G32-F32)/ABS(F32))</f>
        <v>-4.0248134652091011E-2</v>
      </c>
      <c r="J32" s="78">
        <f t="shared" ref="J32:J42" si="18">IF(K12="","",J12/$R32)</f>
        <v>350.1904761904762</v>
      </c>
      <c r="K32" s="81">
        <f t="shared" ref="K32:K42" si="19">IF(K12="","",K12/$S32)</f>
        <v>343.25</v>
      </c>
      <c r="L32" s="96">
        <f t="shared" ref="L32:L42" si="20">IF(K32="","",K32-J32)</f>
        <v>-6.940476190476204</v>
      </c>
      <c r="M32" s="73">
        <f t="shared" ref="M32:M43" si="21">IF(K32="","",(K32-J32)/ABS(J32))</f>
        <v>-1.9819146042969849E-2</v>
      </c>
      <c r="N32" s="78">
        <f t="shared" ref="N32:N42" si="22">IF(O12="","",N12/$R32)</f>
        <v>1341.4285714285713</v>
      </c>
      <c r="O32" s="81">
        <f t="shared" ref="O32:O42" si="23">IF(O12="","",O12/$S32)</f>
        <v>1302.0999999999999</v>
      </c>
      <c r="P32" s="96">
        <f t="shared" ref="P32:P42" si="24">IF(O32="","",O32-N32)</f>
        <v>-39.328571428571422</v>
      </c>
      <c r="Q32" s="71">
        <f t="shared" ref="Q32:Q43" si="25">IF(O32="","",(O32-N32)/ABS(N32))</f>
        <v>-2.9318423855165067E-2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179.90909090909091</v>
      </c>
      <c r="C33" s="82">
        <f t="shared" si="11"/>
        <v>177</v>
      </c>
      <c r="D33" s="84">
        <f t="shared" si="12"/>
        <v>-2.9090909090909065</v>
      </c>
      <c r="E33" s="74">
        <f t="shared" si="13"/>
        <v>-1.6169782718544707E-2</v>
      </c>
      <c r="F33" s="79">
        <f t="shared" si="14"/>
        <v>878.5454545454545</v>
      </c>
      <c r="G33" s="82">
        <f t="shared" si="15"/>
        <v>852.1</v>
      </c>
      <c r="H33" s="97">
        <f t="shared" si="16"/>
        <v>-26.445454545454481</v>
      </c>
      <c r="I33" s="74">
        <f t="shared" si="17"/>
        <v>-3.010140728476814E-2</v>
      </c>
      <c r="J33" s="79">
        <f t="shared" si="18"/>
        <v>379.04545454545456</v>
      </c>
      <c r="K33" s="82">
        <f t="shared" si="19"/>
        <v>352.65</v>
      </c>
      <c r="L33" s="97">
        <f t="shared" si="20"/>
        <v>-26.395454545454584</v>
      </c>
      <c r="M33" s="74">
        <f t="shared" si="21"/>
        <v>-6.9636647079985708E-2</v>
      </c>
      <c r="N33" s="79">
        <f t="shared" si="22"/>
        <v>1437.5</v>
      </c>
      <c r="O33" s="82">
        <f t="shared" si="23"/>
        <v>1381.75</v>
      </c>
      <c r="P33" s="97">
        <f t="shared" si="24"/>
        <v>-55.75</v>
      </c>
      <c r="Q33" s="72">
        <f t="shared" si="25"/>
        <v>-3.8782608695652171E-2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183.36842105263159</v>
      </c>
      <c r="C34" s="81">
        <f t="shared" si="11"/>
        <v>180.33333333333334</v>
      </c>
      <c r="D34" s="77">
        <f t="shared" si="12"/>
        <v>-3.0350877192982466</v>
      </c>
      <c r="E34" s="73">
        <f t="shared" si="13"/>
        <v>-1.6551856104094913E-2</v>
      </c>
      <c r="F34" s="78">
        <f t="shared" si="14"/>
        <v>793.9473684210526</v>
      </c>
      <c r="G34" s="81">
        <f t="shared" si="15"/>
        <v>831.04761904761904</v>
      </c>
      <c r="H34" s="96">
        <f t="shared" si="16"/>
        <v>37.100250626566435</v>
      </c>
      <c r="I34" s="73">
        <f t="shared" si="17"/>
        <v>4.6728853954574892E-2</v>
      </c>
      <c r="J34" s="78">
        <f t="shared" si="18"/>
        <v>405.4736842105263</v>
      </c>
      <c r="K34" s="81">
        <f t="shared" si="19"/>
        <v>365.33333333333331</v>
      </c>
      <c r="L34" s="96">
        <f t="shared" si="20"/>
        <v>-40.140350877192986</v>
      </c>
      <c r="M34" s="73">
        <f t="shared" si="21"/>
        <v>-9.8996192454136392E-2</v>
      </c>
      <c r="N34" s="78">
        <f t="shared" si="22"/>
        <v>1382.7894736842106</v>
      </c>
      <c r="O34" s="81">
        <f t="shared" si="23"/>
        <v>1376.7142857142858</v>
      </c>
      <c r="P34" s="96">
        <f t="shared" si="24"/>
        <v>-6.0751879699248548</v>
      </c>
      <c r="Q34" s="71">
        <f t="shared" si="25"/>
        <v>-4.3934294305398025E-3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175.1</v>
      </c>
      <c r="C35" s="81">
        <f t="shared" si="11"/>
        <v>172.25</v>
      </c>
      <c r="D35" s="77">
        <f t="shared" si="12"/>
        <v>-2.8499999999999943</v>
      </c>
      <c r="E35" s="73">
        <f t="shared" si="13"/>
        <v>-1.6276413478012532E-2</v>
      </c>
      <c r="F35" s="78">
        <f t="shared" si="14"/>
        <v>791.95</v>
      </c>
      <c r="G35" s="81">
        <f t="shared" si="15"/>
        <v>872.85</v>
      </c>
      <c r="H35" s="96">
        <f t="shared" si="16"/>
        <v>80.899999999999977</v>
      </c>
      <c r="I35" s="73">
        <f t="shared" si="17"/>
        <v>0.1021529136940463</v>
      </c>
      <c r="J35" s="78">
        <f t="shared" si="18"/>
        <v>382.45</v>
      </c>
      <c r="K35" s="81">
        <f t="shared" si="19"/>
        <v>351.35</v>
      </c>
      <c r="L35" s="96">
        <f t="shared" si="20"/>
        <v>-31.099999999999966</v>
      </c>
      <c r="M35" s="73">
        <f t="shared" si="21"/>
        <v>-8.1317819322787199E-2</v>
      </c>
      <c r="N35" s="78">
        <f t="shared" si="22"/>
        <v>1349.5</v>
      </c>
      <c r="O35" s="81">
        <f t="shared" si="23"/>
        <v>1396.45</v>
      </c>
      <c r="P35" s="96">
        <f t="shared" si="24"/>
        <v>46.950000000000045</v>
      </c>
      <c r="Q35" s="71">
        <f t="shared" si="25"/>
        <v>3.4790663208595807E-2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176.61904761904762</v>
      </c>
      <c r="C36" s="82">
        <f t="shared" si="11"/>
        <v>190.8</v>
      </c>
      <c r="D36" s="84">
        <f t="shared" si="12"/>
        <v>14.180952380952391</v>
      </c>
      <c r="E36" s="74">
        <f t="shared" si="13"/>
        <v>8.0291183607441419E-2</v>
      </c>
      <c r="F36" s="79">
        <f t="shared" si="14"/>
        <v>895.80952380952385</v>
      </c>
      <c r="G36" s="82">
        <f t="shared" si="15"/>
        <v>862.95</v>
      </c>
      <c r="H36" s="97">
        <f t="shared" si="16"/>
        <v>-32.859523809523807</v>
      </c>
      <c r="I36" s="74">
        <f t="shared" si="17"/>
        <v>-3.668137359132468E-2</v>
      </c>
      <c r="J36" s="79">
        <f t="shared" si="18"/>
        <v>392.57142857142856</v>
      </c>
      <c r="K36" s="82">
        <f t="shared" si="19"/>
        <v>375.1</v>
      </c>
      <c r="L36" s="97">
        <f t="shared" si="20"/>
        <v>-17.471428571428532</v>
      </c>
      <c r="M36" s="74">
        <f t="shared" si="21"/>
        <v>-4.4505094614264822E-2</v>
      </c>
      <c r="N36" s="79">
        <f t="shared" si="22"/>
        <v>1465</v>
      </c>
      <c r="O36" s="82">
        <f t="shared" si="23"/>
        <v>1428.85</v>
      </c>
      <c r="P36" s="97">
        <f t="shared" si="24"/>
        <v>-36.150000000000091</v>
      </c>
      <c r="Q36" s="72">
        <f t="shared" si="25"/>
        <v>-2.4675767918088801E-2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162.77272727272728</v>
      </c>
      <c r="C37" s="81">
        <f t="shared" si="11"/>
        <v>175.2608695652174</v>
      </c>
      <c r="D37" s="77">
        <f t="shared" si="12"/>
        <v>12.488142292490124</v>
      </c>
      <c r="E37" s="73">
        <f t="shared" si="13"/>
        <v>7.6721343321637173E-2</v>
      </c>
      <c r="F37" s="78">
        <f t="shared" si="14"/>
        <v>755</v>
      </c>
      <c r="G37" s="81">
        <f t="shared" si="15"/>
        <v>741.95652173913038</v>
      </c>
      <c r="H37" s="96">
        <f t="shared" si="16"/>
        <v>-13.04347826086962</v>
      </c>
      <c r="I37" s="73">
        <f t="shared" si="17"/>
        <v>-1.7276130146847177E-2</v>
      </c>
      <c r="J37" s="78">
        <f t="shared" si="18"/>
        <v>321.27272727272725</v>
      </c>
      <c r="K37" s="81">
        <f t="shared" si="19"/>
        <v>328.78260869565219</v>
      </c>
      <c r="L37" s="96">
        <f t="shared" si="20"/>
        <v>7.5098814229249342</v>
      </c>
      <c r="M37" s="73">
        <f t="shared" si="21"/>
        <v>2.3375409069658824E-2</v>
      </c>
      <c r="N37" s="78">
        <f t="shared" si="22"/>
        <v>1239.0454545454545</v>
      </c>
      <c r="O37" s="81">
        <f t="shared" si="23"/>
        <v>1246</v>
      </c>
      <c r="P37" s="96">
        <f t="shared" si="24"/>
        <v>6.9545454545454959</v>
      </c>
      <c r="Q37" s="71">
        <f t="shared" si="25"/>
        <v>5.6128251219780961E-3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134.63636363636363</v>
      </c>
      <c r="C38" s="81">
        <f t="shared" si="11"/>
        <v>130.47619047619048</v>
      </c>
      <c r="D38" s="77">
        <f t="shared" si="12"/>
        <v>-4.1601731601731444</v>
      </c>
      <c r="E38" s="73">
        <f t="shared" si="13"/>
        <v>-3.0899327995884261E-2</v>
      </c>
      <c r="F38" s="78">
        <f t="shared" si="14"/>
        <v>573.90909090909088</v>
      </c>
      <c r="G38" s="81">
        <f t="shared" si="15"/>
        <v>571.09523809523807</v>
      </c>
      <c r="H38" s="96">
        <f t="shared" si="16"/>
        <v>-2.8138528138528045</v>
      </c>
      <c r="I38" s="73">
        <f t="shared" si="17"/>
        <v>-4.9029591244069146E-3</v>
      </c>
      <c r="J38" s="78">
        <f t="shared" si="18"/>
        <v>269.45454545454544</v>
      </c>
      <c r="K38" s="81">
        <f t="shared" si="19"/>
        <v>260.09523809523807</v>
      </c>
      <c r="L38" s="96">
        <f t="shared" si="20"/>
        <v>-9.3593073593073655</v>
      </c>
      <c r="M38" s="73">
        <f t="shared" si="21"/>
        <v>-3.4734271576376867E-2</v>
      </c>
      <c r="N38" s="78">
        <f t="shared" si="22"/>
        <v>978</v>
      </c>
      <c r="O38" s="81">
        <f t="shared" si="23"/>
        <v>961.66666666666663</v>
      </c>
      <c r="P38" s="96">
        <f t="shared" si="24"/>
        <v>-16.333333333333371</v>
      </c>
      <c r="Q38" s="71">
        <f t="shared" si="25"/>
        <v>-1.6700749829584225E-2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178.3</v>
      </c>
      <c r="C39" s="82">
        <f t="shared" si="11"/>
        <v>168.0952380952381</v>
      </c>
      <c r="D39" s="84">
        <f t="shared" si="12"/>
        <v>-10.204761904761909</v>
      </c>
      <c r="E39" s="74">
        <f t="shared" si="13"/>
        <v>-5.723366183265232E-2</v>
      </c>
      <c r="F39" s="79">
        <f t="shared" si="14"/>
        <v>822.4</v>
      </c>
      <c r="G39" s="82">
        <f t="shared" si="15"/>
        <v>731.42857142857144</v>
      </c>
      <c r="H39" s="97">
        <f t="shared" si="16"/>
        <v>-90.971428571428532</v>
      </c>
      <c r="I39" s="74">
        <f t="shared" si="17"/>
        <v>-0.11061700944969423</v>
      </c>
      <c r="J39" s="79">
        <f t="shared" si="18"/>
        <v>358</v>
      </c>
      <c r="K39" s="82">
        <f t="shared" si="19"/>
        <v>338.23809523809524</v>
      </c>
      <c r="L39" s="97">
        <f t="shared" si="20"/>
        <v>-19.761904761904759</v>
      </c>
      <c r="M39" s="74">
        <f t="shared" si="21"/>
        <v>-5.520085129023676E-2</v>
      </c>
      <c r="N39" s="79">
        <f t="shared" si="22"/>
        <v>1358.7</v>
      </c>
      <c r="O39" s="82">
        <f t="shared" si="23"/>
        <v>1237.7619047619048</v>
      </c>
      <c r="P39" s="97">
        <f t="shared" si="24"/>
        <v>-120.93809523809523</v>
      </c>
      <c r="Q39" s="72">
        <f t="shared" si="25"/>
        <v>-8.9010153262747652E-2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AVERAGE(B31:B42)</f>
        <v>169.66907420065317</v>
      </c>
      <c r="C43" s="83">
        <f>IF(C11="","",AVERAGE(C31:C42))</f>
        <v>167.84921157747243</v>
      </c>
      <c r="D43" s="75">
        <f>IF(D31="","",AVERAGE(D31:D42))</f>
        <v>-1.8198626231807016</v>
      </c>
      <c r="E43" s="65">
        <f t="shared" si="13"/>
        <v>-1.0725953635065769E-2</v>
      </c>
      <c r="F43" s="80">
        <f>AVERAGE(F31:F42)</f>
        <v>780.03352193615353</v>
      </c>
      <c r="G43" s="83">
        <f>IF(G11="","",AVERAGE(G31:G42))</f>
        <v>779.4430045799611</v>
      </c>
      <c r="H43" s="98">
        <f>IF(H31="","",AVERAGE(H31:H42))</f>
        <v>-0.59051735619242307</v>
      </c>
      <c r="I43" s="65">
        <f t="shared" si="17"/>
        <v>-7.5704099834926085E-4</v>
      </c>
      <c r="J43" s="80">
        <f>AVERAGE(J31:J42)</f>
        <v>354.74789372420952</v>
      </c>
      <c r="K43" s="83">
        <f>IF(K11="","",AVERAGE(K31:K42))</f>
        <v>336.18981847460111</v>
      </c>
      <c r="L43" s="98">
        <f>IF(L31="","",AVERAGE(L31:L42))</f>
        <v>-18.558075249608422</v>
      </c>
      <c r="M43" s="65">
        <f t="shared" si="21"/>
        <v>-5.2313419129236469E-2</v>
      </c>
      <c r="N43" s="80">
        <f>AVERAGE(N31:N42)</f>
        <v>1304.4504898610164</v>
      </c>
      <c r="O43" s="83">
        <f>IF(O11="","",AVERAGE(O31:O42))</f>
        <v>1283.4820346320346</v>
      </c>
      <c r="P43" s="98">
        <f>IF(P31="","",AVERAGE(P31:P42))</f>
        <v>-20.968455228981547</v>
      </c>
      <c r="Q43" s="66">
        <f t="shared" si="25"/>
        <v>-1.6074550465472966E-2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2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J28:M28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B13:B16 B18:B21 F13:F16 F18:F21 J13:J16 J18:J21 N13:N16 N18:N21">
    <cfRule type="expression" dxfId="51" priority="3" stopIfTrue="1">
      <formula>C13=""</formula>
    </cfRule>
  </conditionalFormatting>
  <conditionalFormatting sqref="B17 B12 B22 F17 F12 F22 J17 J12 J22 N17 N12 N22">
    <cfRule type="expression" dxfId="50" priority="4" stopIfTrue="1">
      <formula>C12=""</formula>
    </cfRule>
  </conditionalFormatting>
  <conditionalFormatting sqref="R43:S43 S31:S42">
    <cfRule type="expression" dxfId="49" priority="5" stopIfTrue="1">
      <formula>R31&lt;$R31</formula>
    </cfRule>
    <cfRule type="expression" dxfId="48" priority="6" stopIfTrue="1">
      <formula>R31&gt;$R31</formula>
    </cfRule>
  </conditionalFormatting>
  <conditionalFormatting sqref="S31:S42">
    <cfRule type="expression" dxfId="47" priority="1" stopIfTrue="1">
      <formula>S31&lt;$R31</formula>
    </cfRule>
    <cfRule type="expression" dxfId="4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44" t="s">
        <v>26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8" t="s">
        <v>19</v>
      </c>
      <c r="E3" s="148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14464</v>
      </c>
      <c r="C11" s="47">
        <v>15001</v>
      </c>
      <c r="D11" s="21">
        <f t="shared" ref="D11:D22" si="0">IF(C11="","",C11-B11)</f>
        <v>537</v>
      </c>
      <c r="E11" s="71">
        <f t="shared" ref="E11:E23" si="1">IF(D11="","",D11/B11)</f>
        <v>3.7126659292035395E-2</v>
      </c>
      <c r="F11" s="38">
        <v>12840</v>
      </c>
      <c r="G11" s="47">
        <v>12376</v>
      </c>
      <c r="H11" s="21">
        <f t="shared" ref="H11:H22" si="2">IF(G11="","",G11-F11)</f>
        <v>-464</v>
      </c>
      <c r="I11" s="71">
        <f t="shared" ref="I11:I23" si="3">IF(H11="","",H11/F11)</f>
        <v>-3.6137071651090341E-2</v>
      </c>
      <c r="J11" s="38">
        <v>2246</v>
      </c>
      <c r="K11" s="47">
        <v>2274</v>
      </c>
      <c r="L11" s="21">
        <f t="shared" ref="L11:L22" si="4">IF(K11="","",K11-J11)</f>
        <v>28</v>
      </c>
      <c r="M11" s="71">
        <f t="shared" ref="M11:M23" si="5">IF(L11="","",L11/J11)</f>
        <v>1.2466607301869992E-2</v>
      </c>
      <c r="N11" s="38">
        <f>SUM(B11,F11,J11)</f>
        <v>29550</v>
      </c>
      <c r="O11" s="34">
        <f t="shared" ref="O11:O22" si="6">IF(C11="","",SUM(C11,G11,K11))</f>
        <v>29651</v>
      </c>
      <c r="P11" s="21">
        <f t="shared" ref="P11:P22" si="7">IF(O11="","",O11-N11)</f>
        <v>101</v>
      </c>
      <c r="Q11" s="71">
        <f t="shared" ref="Q11:Q23" si="8">IF(P11="","",P11/N11)</f>
        <v>3.4179357021996617E-3</v>
      </c>
    </row>
    <row r="12" spans="1:17" ht="11.25" customHeight="1">
      <c r="A12" s="20" t="s">
        <v>7</v>
      </c>
      <c r="B12" s="38">
        <v>14702</v>
      </c>
      <c r="C12" s="47">
        <v>15988</v>
      </c>
      <c r="D12" s="21">
        <f t="shared" si="0"/>
        <v>1286</v>
      </c>
      <c r="E12" s="71">
        <f t="shared" si="1"/>
        <v>8.7471092368385253E-2</v>
      </c>
      <c r="F12" s="38">
        <v>13408</v>
      </c>
      <c r="G12" s="47">
        <v>13103</v>
      </c>
      <c r="H12" s="21">
        <f t="shared" si="2"/>
        <v>-305</v>
      </c>
      <c r="I12" s="71">
        <f t="shared" si="3"/>
        <v>-2.2747613365155132E-2</v>
      </c>
      <c r="J12" s="38">
        <v>2357</v>
      </c>
      <c r="K12" s="47">
        <v>2396</v>
      </c>
      <c r="L12" s="21">
        <f t="shared" si="4"/>
        <v>39</v>
      </c>
      <c r="M12" s="71">
        <f t="shared" si="5"/>
        <v>1.6546457361052185E-2</v>
      </c>
      <c r="N12" s="38">
        <f t="shared" ref="N12:N22" si="9">SUM(B12,F12,J12)</f>
        <v>30467</v>
      </c>
      <c r="O12" s="34">
        <f t="shared" si="6"/>
        <v>31487</v>
      </c>
      <c r="P12" s="21">
        <f t="shared" si="7"/>
        <v>1020</v>
      </c>
      <c r="Q12" s="71">
        <f t="shared" si="8"/>
        <v>3.3478845964486165E-2</v>
      </c>
    </row>
    <row r="13" spans="1:17" ht="11.25" customHeight="1">
      <c r="A13" s="27" t="s">
        <v>8</v>
      </c>
      <c r="B13" s="40">
        <v>16476</v>
      </c>
      <c r="C13" s="48">
        <v>17301</v>
      </c>
      <c r="D13" s="22">
        <f t="shared" si="0"/>
        <v>825</v>
      </c>
      <c r="E13" s="72">
        <f t="shared" si="1"/>
        <v>5.0072833211944646E-2</v>
      </c>
      <c r="F13" s="40">
        <v>14240</v>
      </c>
      <c r="G13" s="48">
        <v>14298</v>
      </c>
      <c r="H13" s="22">
        <f t="shared" si="2"/>
        <v>58</v>
      </c>
      <c r="I13" s="72">
        <f t="shared" si="3"/>
        <v>4.0730337078651686E-3</v>
      </c>
      <c r="J13" s="40">
        <v>2629</v>
      </c>
      <c r="K13" s="48">
        <v>2600</v>
      </c>
      <c r="L13" s="22">
        <f t="shared" si="4"/>
        <v>-29</v>
      </c>
      <c r="M13" s="72">
        <f t="shared" si="5"/>
        <v>-1.1030810193990111E-2</v>
      </c>
      <c r="N13" s="40">
        <f t="shared" si="9"/>
        <v>33345</v>
      </c>
      <c r="O13" s="35">
        <f t="shared" si="6"/>
        <v>34199</v>
      </c>
      <c r="P13" s="22">
        <f t="shared" si="7"/>
        <v>854</v>
      </c>
      <c r="Q13" s="72">
        <f t="shared" si="8"/>
        <v>2.5611036137351925E-2</v>
      </c>
    </row>
    <row r="14" spans="1:17" ht="11.25" customHeight="1">
      <c r="A14" s="20" t="s">
        <v>9</v>
      </c>
      <c r="B14" s="38">
        <v>14960</v>
      </c>
      <c r="C14" s="47">
        <v>19127</v>
      </c>
      <c r="D14" s="21">
        <f t="shared" si="0"/>
        <v>4167</v>
      </c>
      <c r="E14" s="71">
        <f t="shared" si="1"/>
        <v>0.27854278074866312</v>
      </c>
      <c r="F14" s="38">
        <v>11807</v>
      </c>
      <c r="G14" s="47">
        <v>14805</v>
      </c>
      <c r="H14" s="21">
        <f t="shared" si="2"/>
        <v>2998</v>
      </c>
      <c r="I14" s="71">
        <f t="shared" si="3"/>
        <v>0.25391716778182433</v>
      </c>
      <c r="J14" s="38">
        <v>2235</v>
      </c>
      <c r="K14" s="47">
        <v>2799</v>
      </c>
      <c r="L14" s="21">
        <f t="shared" si="4"/>
        <v>564</v>
      </c>
      <c r="M14" s="71">
        <f t="shared" si="5"/>
        <v>0.25234899328859062</v>
      </c>
      <c r="N14" s="38">
        <f t="shared" si="9"/>
        <v>29002</v>
      </c>
      <c r="O14" s="34">
        <f t="shared" si="6"/>
        <v>36731</v>
      </c>
      <c r="P14" s="21">
        <f t="shared" si="7"/>
        <v>7729</v>
      </c>
      <c r="Q14" s="71">
        <f t="shared" si="8"/>
        <v>0.26649886214743812</v>
      </c>
    </row>
    <row r="15" spans="1:17" ht="11.25" customHeight="1">
      <c r="A15" s="20" t="s">
        <v>10</v>
      </c>
      <c r="B15" s="38">
        <v>15581</v>
      </c>
      <c r="C15" s="47">
        <v>17457</v>
      </c>
      <c r="D15" s="21">
        <f t="shared" si="0"/>
        <v>1876</v>
      </c>
      <c r="E15" s="71">
        <f t="shared" si="1"/>
        <v>0.12040305500288813</v>
      </c>
      <c r="F15" s="38">
        <v>12390</v>
      </c>
      <c r="G15" s="47">
        <v>14927</v>
      </c>
      <c r="H15" s="21">
        <f t="shared" si="2"/>
        <v>2537</v>
      </c>
      <c r="I15" s="71">
        <f t="shared" si="3"/>
        <v>0.20476190476190476</v>
      </c>
      <c r="J15" s="38">
        <v>2302</v>
      </c>
      <c r="K15" s="47">
        <v>3405</v>
      </c>
      <c r="L15" s="21">
        <f t="shared" si="4"/>
        <v>1103</v>
      </c>
      <c r="M15" s="71">
        <f t="shared" si="5"/>
        <v>0.47914856646394438</v>
      </c>
      <c r="N15" s="38">
        <f t="shared" si="9"/>
        <v>30273</v>
      </c>
      <c r="O15" s="34">
        <f t="shared" si="6"/>
        <v>35789</v>
      </c>
      <c r="P15" s="21">
        <f t="shared" si="7"/>
        <v>5516</v>
      </c>
      <c r="Q15" s="71">
        <f t="shared" si="8"/>
        <v>0.18220856869157334</v>
      </c>
    </row>
    <row r="16" spans="1:17" ht="11.25" customHeight="1">
      <c r="A16" s="27" t="s">
        <v>11</v>
      </c>
      <c r="B16" s="40">
        <v>15509</v>
      </c>
      <c r="C16" s="48">
        <v>17119</v>
      </c>
      <c r="D16" s="22">
        <f t="shared" si="0"/>
        <v>1610</v>
      </c>
      <c r="E16" s="72">
        <f t="shared" si="1"/>
        <v>0.10381069056676769</v>
      </c>
      <c r="F16" s="40">
        <v>12567</v>
      </c>
      <c r="G16" s="48">
        <v>15004</v>
      </c>
      <c r="H16" s="22">
        <f t="shared" si="2"/>
        <v>2437</v>
      </c>
      <c r="I16" s="72">
        <f t="shared" si="3"/>
        <v>0.19392058566085779</v>
      </c>
      <c r="J16" s="40">
        <v>2374</v>
      </c>
      <c r="K16" s="48">
        <v>3385</v>
      </c>
      <c r="L16" s="22">
        <f t="shared" si="4"/>
        <v>1011</v>
      </c>
      <c r="M16" s="72">
        <f t="shared" si="5"/>
        <v>0.42586352148272955</v>
      </c>
      <c r="N16" s="40">
        <f t="shared" si="9"/>
        <v>30450</v>
      </c>
      <c r="O16" s="35">
        <f t="shared" si="6"/>
        <v>35508</v>
      </c>
      <c r="P16" s="22">
        <f t="shared" si="7"/>
        <v>5058</v>
      </c>
      <c r="Q16" s="72">
        <f t="shared" si="8"/>
        <v>0.16610837438423645</v>
      </c>
    </row>
    <row r="17" spans="1:21" ht="11.25" customHeight="1">
      <c r="A17" s="20" t="s">
        <v>12</v>
      </c>
      <c r="B17" s="38">
        <v>16119</v>
      </c>
      <c r="C17" s="47">
        <v>19039</v>
      </c>
      <c r="D17" s="21">
        <f t="shared" si="0"/>
        <v>2920</v>
      </c>
      <c r="E17" s="71">
        <f t="shared" si="1"/>
        <v>0.18115267696507228</v>
      </c>
      <c r="F17" s="38">
        <v>12308</v>
      </c>
      <c r="G17" s="47">
        <v>16153</v>
      </c>
      <c r="H17" s="21">
        <f t="shared" si="2"/>
        <v>3845</v>
      </c>
      <c r="I17" s="71">
        <f t="shared" si="3"/>
        <v>0.31239844003899903</v>
      </c>
      <c r="J17" s="38">
        <v>2356</v>
      </c>
      <c r="K17" s="47">
        <v>4007</v>
      </c>
      <c r="L17" s="21">
        <f t="shared" si="4"/>
        <v>1651</v>
      </c>
      <c r="M17" s="71">
        <f t="shared" si="5"/>
        <v>0.70076400679117146</v>
      </c>
      <c r="N17" s="38">
        <f t="shared" si="9"/>
        <v>30783</v>
      </c>
      <c r="O17" s="34">
        <f t="shared" si="6"/>
        <v>39199</v>
      </c>
      <c r="P17" s="21">
        <f t="shared" si="7"/>
        <v>8416</v>
      </c>
      <c r="Q17" s="71">
        <f t="shared" si="8"/>
        <v>0.27339765454958909</v>
      </c>
    </row>
    <row r="18" spans="1:21" ht="11.25" customHeight="1">
      <c r="A18" s="20" t="s">
        <v>13</v>
      </c>
      <c r="B18" s="38">
        <v>15833</v>
      </c>
      <c r="C18" s="47">
        <v>16900</v>
      </c>
      <c r="D18" s="21">
        <f t="shared" si="0"/>
        <v>1067</v>
      </c>
      <c r="E18" s="71">
        <f t="shared" si="1"/>
        <v>6.7390892439840838E-2</v>
      </c>
      <c r="F18" s="38">
        <v>11256</v>
      </c>
      <c r="G18" s="47">
        <v>13351</v>
      </c>
      <c r="H18" s="21">
        <f t="shared" si="2"/>
        <v>2095</v>
      </c>
      <c r="I18" s="71">
        <f t="shared" si="3"/>
        <v>0.1861229566453447</v>
      </c>
      <c r="J18" s="38">
        <v>2253</v>
      </c>
      <c r="K18" s="47">
        <v>3895</v>
      </c>
      <c r="L18" s="21">
        <f t="shared" si="4"/>
        <v>1642</v>
      </c>
      <c r="M18" s="71">
        <f t="shared" si="5"/>
        <v>0.72880603639591657</v>
      </c>
      <c r="N18" s="38">
        <f t="shared" si="9"/>
        <v>29342</v>
      </c>
      <c r="O18" s="34">
        <f t="shared" si="6"/>
        <v>34146</v>
      </c>
      <c r="P18" s="21">
        <f t="shared" si="7"/>
        <v>4804</v>
      </c>
      <c r="Q18" s="71">
        <f t="shared" si="8"/>
        <v>0.1637243541680867</v>
      </c>
    </row>
    <row r="19" spans="1:21" ht="11.25" customHeight="1">
      <c r="A19" s="27" t="s">
        <v>14</v>
      </c>
      <c r="B19" s="40">
        <v>16565</v>
      </c>
      <c r="C19" s="48">
        <v>17894</v>
      </c>
      <c r="D19" s="22">
        <f t="shared" si="0"/>
        <v>1329</v>
      </c>
      <c r="E19" s="72">
        <f t="shared" si="1"/>
        <v>8.0229399335949289E-2</v>
      </c>
      <c r="F19" s="40">
        <v>12489</v>
      </c>
      <c r="G19" s="48">
        <v>16589</v>
      </c>
      <c r="H19" s="22">
        <f t="shared" si="2"/>
        <v>4100</v>
      </c>
      <c r="I19" s="72">
        <f t="shared" si="3"/>
        <v>0.3282888942269197</v>
      </c>
      <c r="J19" s="40">
        <v>2395</v>
      </c>
      <c r="K19" s="48">
        <v>3510</v>
      </c>
      <c r="L19" s="22">
        <f t="shared" si="4"/>
        <v>1115</v>
      </c>
      <c r="M19" s="72">
        <f t="shared" si="5"/>
        <v>0.46555323590814196</v>
      </c>
      <c r="N19" s="40">
        <f t="shared" si="9"/>
        <v>31449</v>
      </c>
      <c r="O19" s="35">
        <f t="shared" si="6"/>
        <v>37993</v>
      </c>
      <c r="P19" s="22">
        <f t="shared" si="7"/>
        <v>6544</v>
      </c>
      <c r="Q19" s="72">
        <f t="shared" si="8"/>
        <v>0.20808292791503705</v>
      </c>
    </row>
    <row r="20" spans="1:21" ht="11.25" customHeight="1">
      <c r="A20" s="20" t="s">
        <v>15</v>
      </c>
      <c r="B20" s="38">
        <v>17985</v>
      </c>
      <c r="C20" s="47"/>
      <c r="D20" s="21" t="str">
        <f t="shared" si="0"/>
        <v/>
      </c>
      <c r="E20" s="71" t="str">
        <f t="shared" si="1"/>
        <v/>
      </c>
      <c r="F20" s="38">
        <v>12571</v>
      </c>
      <c r="G20" s="47"/>
      <c r="H20" s="21" t="str">
        <f t="shared" si="2"/>
        <v/>
      </c>
      <c r="I20" s="71" t="str">
        <f t="shared" si="3"/>
        <v/>
      </c>
      <c r="J20" s="38">
        <v>2544</v>
      </c>
      <c r="K20" s="47"/>
      <c r="L20" s="21" t="str">
        <f t="shared" si="4"/>
        <v/>
      </c>
      <c r="M20" s="71" t="str">
        <f t="shared" si="5"/>
        <v/>
      </c>
      <c r="N20" s="38">
        <f t="shared" si="9"/>
        <v>33100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v>16332</v>
      </c>
      <c r="C21" s="47"/>
      <c r="D21" s="21" t="str">
        <f t="shared" si="0"/>
        <v/>
      </c>
      <c r="E21" s="71" t="str">
        <f t="shared" si="1"/>
        <v/>
      </c>
      <c r="F21" s="38">
        <v>11631</v>
      </c>
      <c r="G21" s="47"/>
      <c r="H21" s="21" t="str">
        <f t="shared" si="2"/>
        <v/>
      </c>
      <c r="I21" s="71" t="str">
        <f t="shared" si="3"/>
        <v/>
      </c>
      <c r="J21" s="38">
        <v>2314</v>
      </c>
      <c r="K21" s="47"/>
      <c r="L21" s="21" t="str">
        <f t="shared" si="4"/>
        <v/>
      </c>
      <c r="M21" s="71" t="str">
        <f t="shared" si="5"/>
        <v/>
      </c>
      <c r="N21" s="38">
        <f t="shared" si="9"/>
        <v>30277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v>12549</v>
      </c>
      <c r="C22" s="49"/>
      <c r="D22" s="21" t="str">
        <f t="shared" si="0"/>
        <v/>
      </c>
      <c r="E22" s="57" t="str">
        <f t="shared" si="1"/>
        <v/>
      </c>
      <c r="F22" s="39">
        <v>9496</v>
      </c>
      <c r="G22" s="49"/>
      <c r="H22" s="21" t="str">
        <f t="shared" si="2"/>
        <v/>
      </c>
      <c r="I22" s="57" t="str">
        <f t="shared" si="3"/>
        <v/>
      </c>
      <c r="J22" s="39">
        <v>1828</v>
      </c>
      <c r="K22" s="49"/>
      <c r="L22" s="21" t="str">
        <f t="shared" si="4"/>
        <v/>
      </c>
      <c r="M22" s="57" t="str">
        <f t="shared" si="5"/>
        <v/>
      </c>
      <c r="N22" s="39">
        <f t="shared" si="9"/>
        <v>23873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140209</v>
      </c>
      <c r="C23" s="42">
        <f>IF(C11="","",SUM(C11:C22))</f>
        <v>155826</v>
      </c>
      <c r="D23" s="43">
        <f>IF(D11="","",SUM(D11:D22))</f>
        <v>15617</v>
      </c>
      <c r="E23" s="64">
        <f t="shared" si="1"/>
        <v>0.11138372001797317</v>
      </c>
      <c r="F23" s="41">
        <f>IF(G24&lt;7,F24,F25)</f>
        <v>113305</v>
      </c>
      <c r="G23" s="42">
        <f>IF(G11="","",SUM(G11:G22))</f>
        <v>130606</v>
      </c>
      <c r="H23" s="43">
        <f>IF(H11="","",SUM(H11:H22))</f>
        <v>17301</v>
      </c>
      <c r="I23" s="64">
        <f t="shared" si="3"/>
        <v>0.1526940558669079</v>
      </c>
      <c r="J23" s="41">
        <f>IF(K24&lt;7,J24,J25)</f>
        <v>21147</v>
      </c>
      <c r="K23" s="42">
        <f>IF(K11="","",SUM(K11:K22))</f>
        <v>28271</v>
      </c>
      <c r="L23" s="43">
        <f>IF(L11="","",SUM(L11:L22))</f>
        <v>7124</v>
      </c>
      <c r="M23" s="64">
        <f t="shared" si="5"/>
        <v>0.33687993568827729</v>
      </c>
      <c r="N23" s="41">
        <f>IF(O24&lt;7,N24,N25)</f>
        <v>274661</v>
      </c>
      <c r="O23" s="42">
        <f>IF(O11="","",SUM(O11:O22))</f>
        <v>314703</v>
      </c>
      <c r="P23" s="43">
        <f>IF(P11="","",SUM(P11:P22))</f>
        <v>40042</v>
      </c>
      <c r="Q23" s="64">
        <f t="shared" si="8"/>
        <v>0.14578698832378822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140209</v>
      </c>
      <c r="F25" s="91">
        <f>IF(G24=7,SUM(F11:F17),IF(G24=8,SUM(F11:F18),IF(G24=9,SUM(F11:F19),IF(G24=10,SUM(F11:F20),IF(G24=11,SUM(F11:F21),SUM(F11:F22))))))</f>
        <v>113305</v>
      </c>
      <c r="J25" s="91">
        <f>IF(K24=7,SUM(J11:J17),IF(K24=8,SUM(J11:J18),IF(K24=9,SUM(J11:J19),IF(K24=10,SUM(J11:J20),IF(K24=11,SUM(J11:J21),SUM(J11:J22))))))</f>
        <v>21147</v>
      </c>
      <c r="N25" s="91">
        <f>IF(O24=7,SUM(N11:N17),IF(O24=8,SUM(N11:N18),IF(O24=9,SUM(N11:N19),IF(O24=10,SUM(N11:N20),IF(O24=11,SUM(N11:N21),SUM(N11:N22))))))</f>
        <v>274661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>IF(C11="","",B11/$R31)</f>
        <v>657.4545454545455</v>
      </c>
      <c r="C31" s="81">
        <f>IF(C11="","",C11/$S31)</f>
        <v>681.86363636363637</v>
      </c>
      <c r="D31" s="77">
        <f>IF(C31="","",C31-B31)</f>
        <v>24.409090909090878</v>
      </c>
      <c r="E31" s="73">
        <f>IF(C31="","",(C31-B31)/ABS(B31))</f>
        <v>3.7126659292035347E-2</v>
      </c>
      <c r="F31" s="78">
        <f>IF(G11="","",F11/$R31)</f>
        <v>583.63636363636363</v>
      </c>
      <c r="G31" s="81">
        <f>IF(G11="","",G11/$S31)</f>
        <v>562.5454545454545</v>
      </c>
      <c r="H31" s="96">
        <f>IF(G31="","",G31-F31)</f>
        <v>-21.090909090909122</v>
      </c>
      <c r="I31" s="73">
        <f>IF(G31="","",(G31-F31)/ABS(F31))</f>
        <v>-3.6137071651090397E-2</v>
      </c>
      <c r="J31" s="78">
        <f>IF(K11="","",J11/$R31)</f>
        <v>102.09090909090909</v>
      </c>
      <c r="K31" s="81">
        <f>IF(K11="","",K11/$S31)</f>
        <v>103.36363636363636</v>
      </c>
      <c r="L31" s="96">
        <f>IF(K31="","",K31-J31)</f>
        <v>1.2727272727272663</v>
      </c>
      <c r="M31" s="73">
        <f>IF(K31="","",(K31-J31)/ABS(J31))</f>
        <v>1.2466607301869928E-2</v>
      </c>
      <c r="N31" s="78">
        <f>IF(O11="","",N11/$R31)</f>
        <v>1343.1818181818182</v>
      </c>
      <c r="O31" s="81">
        <f>IF(O11="","",O11/$S31)</f>
        <v>1347.7727272727273</v>
      </c>
      <c r="P31" s="96">
        <f>IF(O31="","",O31-N31)</f>
        <v>4.5909090909090082</v>
      </c>
      <c r="Q31" s="71">
        <f>IF(O31="","",(O31-N31)/ABS(N31))</f>
        <v>3.4179357021995997E-3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ref="B32:B42" si="10">IF(C12="","",B12/$R32)</f>
        <v>700.09523809523807</v>
      </c>
      <c r="C32" s="81">
        <f t="shared" ref="C32:C42" si="11">IF(C12="","",C12/$S32)</f>
        <v>799.4</v>
      </c>
      <c r="D32" s="77">
        <f t="shared" ref="D32:D42" si="12">IF(C32="","",C32-B32)</f>
        <v>99.304761904761904</v>
      </c>
      <c r="E32" s="73">
        <f t="shared" ref="E32:E43" si="13">IF(C32="","",(C32-B32)/ABS(B32))</f>
        <v>0.14184464698680452</v>
      </c>
      <c r="F32" s="78">
        <f t="shared" ref="F32:F42" si="14">IF(G12="","",F12/$R32)</f>
        <v>638.47619047619048</v>
      </c>
      <c r="G32" s="81">
        <f t="shared" ref="G32:G42" si="15">IF(G12="","",G12/$S32)</f>
        <v>655.15</v>
      </c>
      <c r="H32" s="96">
        <f t="shared" ref="H32:H42" si="16">IF(G32="","",G32-F32)</f>
        <v>16.673809523809496</v>
      </c>
      <c r="I32" s="73">
        <f t="shared" ref="I32:I43" si="17">IF(G32="","",(G32-F32)/ABS(F32))</f>
        <v>2.6115005966587067E-2</v>
      </c>
      <c r="J32" s="78">
        <f t="shared" ref="J32:J42" si="18">IF(K12="","",J12/$R32)</f>
        <v>112.23809523809524</v>
      </c>
      <c r="K32" s="81">
        <f t="shared" ref="K32:K42" si="19">IF(K12="","",K12/$S32)</f>
        <v>119.8</v>
      </c>
      <c r="L32" s="96">
        <f t="shared" ref="L32:L42" si="20">IF(K32="","",K32-J32)</f>
        <v>7.5619047619047564</v>
      </c>
      <c r="M32" s="73">
        <f t="shared" ref="M32:M43" si="21">IF(K32="","",(K32-J32)/ABS(J32))</f>
        <v>6.7373780229104743E-2</v>
      </c>
      <c r="N32" s="78">
        <f t="shared" ref="N32:N42" si="22">IF(O12="","",N12/$R32)</f>
        <v>1450.8095238095239</v>
      </c>
      <c r="O32" s="81">
        <f t="shared" ref="O32:O42" si="23">IF(O12="","",O12/$S32)</f>
        <v>1574.35</v>
      </c>
      <c r="P32" s="96">
        <f t="shared" ref="P32:P42" si="24">IF(O32="","",O32-N32)</f>
        <v>123.54047619047606</v>
      </c>
      <c r="Q32" s="71">
        <f t="shared" ref="Q32:Q43" si="25">IF(O32="","",(O32-N32)/ABS(N32))</f>
        <v>8.5152788262710374E-2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748.90909090909088</v>
      </c>
      <c r="C33" s="82">
        <f t="shared" si="11"/>
        <v>865.05</v>
      </c>
      <c r="D33" s="84">
        <f t="shared" si="12"/>
        <v>116.14090909090908</v>
      </c>
      <c r="E33" s="74">
        <f t="shared" si="13"/>
        <v>0.15508011653313911</v>
      </c>
      <c r="F33" s="79">
        <f t="shared" si="14"/>
        <v>647.27272727272725</v>
      </c>
      <c r="G33" s="82">
        <f t="shared" si="15"/>
        <v>714.9</v>
      </c>
      <c r="H33" s="97">
        <f t="shared" si="16"/>
        <v>67.627272727272725</v>
      </c>
      <c r="I33" s="74">
        <f t="shared" si="17"/>
        <v>0.10448033707865169</v>
      </c>
      <c r="J33" s="79">
        <f t="shared" si="18"/>
        <v>119.5</v>
      </c>
      <c r="K33" s="82">
        <f t="shared" si="19"/>
        <v>130</v>
      </c>
      <c r="L33" s="97">
        <f t="shared" si="20"/>
        <v>10.5</v>
      </c>
      <c r="M33" s="74">
        <f t="shared" si="21"/>
        <v>8.7866108786610872E-2</v>
      </c>
      <c r="N33" s="79">
        <f t="shared" si="22"/>
        <v>1515.6818181818182</v>
      </c>
      <c r="O33" s="82">
        <f t="shared" si="23"/>
        <v>1709.95</v>
      </c>
      <c r="P33" s="97">
        <f t="shared" si="24"/>
        <v>194.2681818181818</v>
      </c>
      <c r="Q33" s="72">
        <f t="shared" si="25"/>
        <v>0.1281721397510871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787.36842105263156</v>
      </c>
      <c r="C34" s="81">
        <f t="shared" si="11"/>
        <v>910.80952380952385</v>
      </c>
      <c r="D34" s="77">
        <f t="shared" si="12"/>
        <v>123.44110275689229</v>
      </c>
      <c r="E34" s="73">
        <f t="shared" si="13"/>
        <v>0.15677680162974289</v>
      </c>
      <c r="F34" s="78">
        <f t="shared" si="14"/>
        <v>621.42105263157896</v>
      </c>
      <c r="G34" s="81">
        <f t="shared" si="15"/>
        <v>705</v>
      </c>
      <c r="H34" s="96">
        <f t="shared" si="16"/>
        <v>83.578947368421041</v>
      </c>
      <c r="I34" s="73">
        <f t="shared" si="17"/>
        <v>0.13449648513593629</v>
      </c>
      <c r="J34" s="78">
        <f t="shared" si="18"/>
        <v>117.63157894736842</v>
      </c>
      <c r="K34" s="81">
        <f t="shared" si="19"/>
        <v>133.28571428571428</v>
      </c>
      <c r="L34" s="96">
        <f t="shared" si="20"/>
        <v>15.654135338345853</v>
      </c>
      <c r="M34" s="73">
        <f t="shared" si="21"/>
        <v>0.13307766059443901</v>
      </c>
      <c r="N34" s="78">
        <f t="shared" si="22"/>
        <v>1526.421052631579</v>
      </c>
      <c r="O34" s="81">
        <f t="shared" si="23"/>
        <v>1749.0952380952381</v>
      </c>
      <c r="P34" s="96">
        <f t="shared" si="24"/>
        <v>222.67418546365911</v>
      </c>
      <c r="Q34" s="71">
        <f t="shared" si="25"/>
        <v>0.14587992289530113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779.05</v>
      </c>
      <c r="C35" s="81">
        <f t="shared" si="11"/>
        <v>872.85</v>
      </c>
      <c r="D35" s="77">
        <f t="shared" si="12"/>
        <v>93.800000000000068</v>
      </c>
      <c r="E35" s="73">
        <f t="shared" si="13"/>
        <v>0.12040305500288823</v>
      </c>
      <c r="F35" s="78">
        <f t="shared" si="14"/>
        <v>619.5</v>
      </c>
      <c r="G35" s="81">
        <f t="shared" si="15"/>
        <v>746.35</v>
      </c>
      <c r="H35" s="96">
        <f t="shared" si="16"/>
        <v>126.85000000000002</v>
      </c>
      <c r="I35" s="73">
        <f t="shared" si="17"/>
        <v>0.20476190476190481</v>
      </c>
      <c r="J35" s="78">
        <f t="shared" si="18"/>
        <v>115.1</v>
      </c>
      <c r="K35" s="81">
        <f t="shared" si="19"/>
        <v>170.25</v>
      </c>
      <c r="L35" s="96">
        <f t="shared" si="20"/>
        <v>55.150000000000006</v>
      </c>
      <c r="M35" s="73">
        <f t="shared" si="21"/>
        <v>0.47914856646394449</v>
      </c>
      <c r="N35" s="78">
        <f t="shared" si="22"/>
        <v>1513.65</v>
      </c>
      <c r="O35" s="81">
        <f t="shared" si="23"/>
        <v>1789.45</v>
      </c>
      <c r="P35" s="96">
        <f t="shared" si="24"/>
        <v>275.79999999999995</v>
      </c>
      <c r="Q35" s="71">
        <f t="shared" si="25"/>
        <v>0.18220856869157331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738.52380952380952</v>
      </c>
      <c r="C36" s="82">
        <f t="shared" si="11"/>
        <v>855.95</v>
      </c>
      <c r="D36" s="84">
        <f t="shared" si="12"/>
        <v>117.42619047619053</v>
      </c>
      <c r="E36" s="74">
        <f t="shared" si="13"/>
        <v>0.15900122509510614</v>
      </c>
      <c r="F36" s="79">
        <f t="shared" si="14"/>
        <v>598.42857142857144</v>
      </c>
      <c r="G36" s="82">
        <f t="shared" si="15"/>
        <v>750.2</v>
      </c>
      <c r="H36" s="97">
        <f t="shared" si="16"/>
        <v>151.7714285714286</v>
      </c>
      <c r="I36" s="74">
        <f t="shared" si="17"/>
        <v>0.25361661494390075</v>
      </c>
      <c r="J36" s="79">
        <f t="shared" si="18"/>
        <v>113.04761904761905</v>
      </c>
      <c r="K36" s="82">
        <f t="shared" si="19"/>
        <v>169.25</v>
      </c>
      <c r="L36" s="97">
        <f t="shared" si="20"/>
        <v>56.202380952380949</v>
      </c>
      <c r="M36" s="74">
        <f t="shared" si="21"/>
        <v>0.49715669755686598</v>
      </c>
      <c r="N36" s="79">
        <f t="shared" si="22"/>
        <v>1450</v>
      </c>
      <c r="O36" s="82">
        <f t="shared" si="23"/>
        <v>1775.4</v>
      </c>
      <c r="P36" s="97">
        <f t="shared" si="24"/>
        <v>325.40000000000009</v>
      </c>
      <c r="Q36" s="72">
        <f t="shared" si="25"/>
        <v>0.22441379310344833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732.68181818181813</v>
      </c>
      <c r="C37" s="81">
        <f t="shared" si="11"/>
        <v>827.78260869565213</v>
      </c>
      <c r="D37" s="77">
        <f t="shared" si="12"/>
        <v>95.100790513833999</v>
      </c>
      <c r="E37" s="73">
        <f t="shared" si="13"/>
        <v>0.12979821274919959</v>
      </c>
      <c r="F37" s="78">
        <f t="shared" si="14"/>
        <v>559.4545454545455</v>
      </c>
      <c r="G37" s="81">
        <f t="shared" si="15"/>
        <v>702.304347826087</v>
      </c>
      <c r="H37" s="96">
        <f t="shared" si="16"/>
        <v>142.8498023715415</v>
      </c>
      <c r="I37" s="73">
        <f t="shared" si="17"/>
        <v>0.25533763829817296</v>
      </c>
      <c r="J37" s="78">
        <f t="shared" si="18"/>
        <v>107.09090909090909</v>
      </c>
      <c r="K37" s="81">
        <f t="shared" si="19"/>
        <v>174.21739130434781</v>
      </c>
      <c r="L37" s="96">
        <f t="shared" si="20"/>
        <v>67.12648221343872</v>
      </c>
      <c r="M37" s="73">
        <f t="shared" si="21"/>
        <v>0.62681774562633774</v>
      </c>
      <c r="N37" s="78">
        <f t="shared" si="22"/>
        <v>1399.2272727272727</v>
      </c>
      <c r="O37" s="81">
        <f t="shared" si="23"/>
        <v>1704.304347826087</v>
      </c>
      <c r="P37" s="96">
        <f t="shared" si="24"/>
        <v>305.07707509881425</v>
      </c>
      <c r="Q37" s="71">
        <f t="shared" si="25"/>
        <v>0.21803253913438955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719.68181818181813</v>
      </c>
      <c r="C38" s="81">
        <f t="shared" si="11"/>
        <v>804.76190476190482</v>
      </c>
      <c r="D38" s="77">
        <f t="shared" si="12"/>
        <v>85.080086580086686</v>
      </c>
      <c r="E38" s="73">
        <f t="shared" si="13"/>
        <v>0.11821903017507152</v>
      </c>
      <c r="F38" s="78">
        <f t="shared" si="14"/>
        <v>511.63636363636363</v>
      </c>
      <c r="G38" s="81">
        <f t="shared" si="15"/>
        <v>635.76190476190482</v>
      </c>
      <c r="H38" s="96">
        <f t="shared" si="16"/>
        <v>124.12554112554119</v>
      </c>
      <c r="I38" s="73">
        <f t="shared" si="17"/>
        <v>0.24260500219988507</v>
      </c>
      <c r="J38" s="78">
        <f t="shared" si="18"/>
        <v>102.40909090909091</v>
      </c>
      <c r="K38" s="81">
        <f t="shared" si="19"/>
        <v>185.47619047619048</v>
      </c>
      <c r="L38" s="96">
        <f t="shared" si="20"/>
        <v>83.067099567099575</v>
      </c>
      <c r="M38" s="73">
        <f t="shared" si="21"/>
        <v>0.81113013336715079</v>
      </c>
      <c r="N38" s="78">
        <f t="shared" si="22"/>
        <v>1333.7272727272727</v>
      </c>
      <c r="O38" s="81">
        <f t="shared" si="23"/>
        <v>1626</v>
      </c>
      <c r="P38" s="96">
        <f t="shared" si="24"/>
        <v>292.27272727272725</v>
      </c>
      <c r="Q38" s="71">
        <f t="shared" si="25"/>
        <v>0.21913979960466223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828.25</v>
      </c>
      <c r="C39" s="82">
        <f t="shared" si="11"/>
        <v>852.09523809523807</v>
      </c>
      <c r="D39" s="84">
        <f t="shared" si="12"/>
        <v>23.845238095238074</v>
      </c>
      <c r="E39" s="74">
        <f t="shared" si="13"/>
        <v>2.8789904129475487E-2</v>
      </c>
      <c r="F39" s="79">
        <f t="shared" si="14"/>
        <v>624.45000000000005</v>
      </c>
      <c r="G39" s="82">
        <f t="shared" si="15"/>
        <v>789.95238095238096</v>
      </c>
      <c r="H39" s="97">
        <f t="shared" si="16"/>
        <v>165.50238095238092</v>
      </c>
      <c r="I39" s="74">
        <f t="shared" si="17"/>
        <v>0.26503704212087581</v>
      </c>
      <c r="J39" s="79">
        <f t="shared" si="18"/>
        <v>119.75</v>
      </c>
      <c r="K39" s="82">
        <f t="shared" si="19"/>
        <v>167.14285714285714</v>
      </c>
      <c r="L39" s="97">
        <f t="shared" si="20"/>
        <v>47.392857142857139</v>
      </c>
      <c r="M39" s="74">
        <f t="shared" si="21"/>
        <v>0.3957649865791828</v>
      </c>
      <c r="N39" s="79">
        <f t="shared" si="22"/>
        <v>1572.45</v>
      </c>
      <c r="O39" s="82">
        <f t="shared" si="23"/>
        <v>1809.1904761904761</v>
      </c>
      <c r="P39" s="97">
        <f t="shared" si="24"/>
        <v>236.7404761904761</v>
      </c>
      <c r="Q39" s="72">
        <f t="shared" si="25"/>
        <v>0.15055516944289235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AVERAGE(B31:B42)</f>
        <v>743.55719348877244</v>
      </c>
      <c r="C43" s="83">
        <f>IF(C11="","",AVERAGE(C31:C42))</f>
        <v>830.06254574732827</v>
      </c>
      <c r="D43" s="75">
        <f>IF(D31="","",AVERAGE(D31:D42))</f>
        <v>86.505352258555945</v>
      </c>
      <c r="E43" s="65">
        <f t="shared" si="13"/>
        <v>0.11633987676546101</v>
      </c>
      <c r="F43" s="80">
        <f>AVERAGE(F31:F42)</f>
        <v>600.47509050403789</v>
      </c>
      <c r="G43" s="83">
        <f>IF(G11="","",AVERAGE(G31:G42))</f>
        <v>695.79600978731412</v>
      </c>
      <c r="H43" s="98">
        <f>IF(H31="","",AVERAGE(H31:H42))</f>
        <v>95.320919283276268</v>
      </c>
      <c r="I43" s="65">
        <f t="shared" si="17"/>
        <v>0.15874250371195911</v>
      </c>
      <c r="J43" s="80">
        <f>AVERAGE(J31:J42)</f>
        <v>112.09535581377686</v>
      </c>
      <c r="K43" s="83">
        <f>IF(K11="","",AVERAGE(K31:K42))</f>
        <v>150.30953217474953</v>
      </c>
      <c r="L43" s="98">
        <f>IF(L31="","",AVERAGE(L31:L42))</f>
        <v>38.214176360972687</v>
      </c>
      <c r="M43" s="65">
        <f t="shared" si="21"/>
        <v>0.34090775736023876</v>
      </c>
      <c r="N43" s="80">
        <f>AVERAGE(N31:N42)</f>
        <v>1456.127639806587</v>
      </c>
      <c r="O43" s="83">
        <f>IF(O11="","",AVERAGE(O31:O42))</f>
        <v>1676.1680877093922</v>
      </c>
      <c r="P43" s="98">
        <f>IF(P31="","",AVERAGE(P31:P42))</f>
        <v>220.04044790280486</v>
      </c>
      <c r="Q43" s="66">
        <f t="shared" si="25"/>
        <v>0.15111343393772303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2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  <mergeCell ref="P9:Q9"/>
    <mergeCell ref="B2:E2"/>
    <mergeCell ref="D3:E3"/>
    <mergeCell ref="B6:E7"/>
    <mergeCell ref="B26:E27"/>
    <mergeCell ref="B3:C3"/>
  </mergeCells>
  <phoneticPr fontId="0" type="noConversion"/>
  <conditionalFormatting sqref="B13:B16 B18:B21 F13:F16 F18:F21 J13:J16 J18:J21 N13:N16 N18:N21">
    <cfRule type="expression" dxfId="45" priority="3" stopIfTrue="1">
      <formula>C13=""</formula>
    </cfRule>
  </conditionalFormatting>
  <conditionalFormatting sqref="B17 N22 B22 F17 F12 F22 J17 J12 J22 N17 N12">
    <cfRule type="expression" dxfId="44" priority="4" stopIfTrue="1">
      <formula>C12=""</formula>
    </cfRule>
  </conditionalFormatting>
  <conditionalFormatting sqref="R43:S43 S31:S42">
    <cfRule type="expression" dxfId="43" priority="5" stopIfTrue="1">
      <formula>R31&lt;$R31</formula>
    </cfRule>
    <cfRule type="expression" dxfId="42" priority="6" stopIfTrue="1">
      <formula>R31&gt;$R31</formula>
    </cfRule>
  </conditionalFormatting>
  <conditionalFormatting sqref="B12">
    <cfRule type="expression" dxfId="41" priority="7" stopIfTrue="1">
      <formula>C12=""</formula>
    </cfRule>
  </conditionalFormatting>
  <conditionalFormatting sqref="S31:S42">
    <cfRule type="expression" dxfId="40" priority="1" stopIfTrue="1">
      <formula>S31&lt;$R31</formula>
    </cfRule>
    <cfRule type="expression" dxfId="39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100" t="s">
        <v>18</v>
      </c>
      <c r="B2" s="144" t="s">
        <v>26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5" t="s">
        <v>25</v>
      </c>
      <c r="E3" s="14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17169</v>
      </c>
      <c r="C11" s="47">
        <v>15937</v>
      </c>
      <c r="D11" s="21">
        <f t="shared" ref="D11:D22" si="0">IF(C11="","",C11-B11)</f>
        <v>-1232</v>
      </c>
      <c r="E11" s="71">
        <f t="shared" ref="E11:E23" si="1">IF(D11="","",D11/B11)</f>
        <v>-7.1757236880424013E-2</v>
      </c>
      <c r="F11" s="38">
        <v>12173</v>
      </c>
      <c r="G11" s="47">
        <v>10318</v>
      </c>
      <c r="H11" s="21">
        <f t="shared" ref="H11:H22" si="2">IF(G11="","",G11-F11)</f>
        <v>-1855</v>
      </c>
      <c r="I11" s="71">
        <f t="shared" ref="I11:I23" si="3">IF(H11="","",H11/F11)</f>
        <v>-0.15238642898217367</v>
      </c>
      <c r="J11" s="38">
        <v>9311</v>
      </c>
      <c r="K11" s="47">
        <v>10824</v>
      </c>
      <c r="L11" s="21">
        <f t="shared" ref="L11:L22" si="4">IF(K11="","",K11-J11)</f>
        <v>1513</v>
      </c>
      <c r="M11" s="71">
        <f t="shared" ref="M11:M23" si="5">IF(L11="","",L11/J11)</f>
        <v>0.16249597250563849</v>
      </c>
      <c r="N11" s="38">
        <f>SUM(B11,F11,J11)</f>
        <v>38653</v>
      </c>
      <c r="O11" s="34">
        <f t="shared" ref="O11:O22" si="6">IF(C11="","",SUM(C11,G11,K11))</f>
        <v>37079</v>
      </c>
      <c r="P11" s="21">
        <f t="shared" ref="P11:P22" si="7">IF(O11="","",O11-N11)</f>
        <v>-1574</v>
      </c>
      <c r="Q11" s="71">
        <f t="shared" ref="Q11:Q23" si="8">IF(P11="","",P11/N11)</f>
        <v>-4.0721289421260964E-2</v>
      </c>
    </row>
    <row r="12" spans="1:17" ht="11.25" customHeight="1">
      <c r="A12" s="20" t="s">
        <v>7</v>
      </c>
      <c r="B12" s="38">
        <v>17594</v>
      </c>
      <c r="C12" s="47">
        <v>15045</v>
      </c>
      <c r="D12" s="21">
        <f t="shared" si="0"/>
        <v>-2549</v>
      </c>
      <c r="E12" s="71">
        <f t="shared" si="1"/>
        <v>-0.1448789360009094</v>
      </c>
      <c r="F12" s="38">
        <v>12722</v>
      </c>
      <c r="G12" s="47">
        <v>9938</v>
      </c>
      <c r="H12" s="21">
        <f t="shared" si="2"/>
        <v>-2784</v>
      </c>
      <c r="I12" s="71">
        <f t="shared" si="3"/>
        <v>-0.21883351674265053</v>
      </c>
      <c r="J12" s="38">
        <v>9695</v>
      </c>
      <c r="K12" s="47">
        <v>15925</v>
      </c>
      <c r="L12" s="21">
        <f t="shared" si="4"/>
        <v>6230</v>
      </c>
      <c r="M12" s="71">
        <f t="shared" si="5"/>
        <v>0.64259927797833938</v>
      </c>
      <c r="N12" s="38">
        <f t="shared" ref="N12:N22" si="9">SUM(B12,F12,J12)</f>
        <v>40011</v>
      </c>
      <c r="O12" s="34">
        <f t="shared" si="6"/>
        <v>40908</v>
      </c>
      <c r="P12" s="21">
        <f t="shared" si="7"/>
        <v>897</v>
      </c>
      <c r="Q12" s="71">
        <f t="shared" si="8"/>
        <v>2.2418834820424383E-2</v>
      </c>
    </row>
    <row r="13" spans="1:17" ht="11.25" customHeight="1">
      <c r="A13" s="27" t="s">
        <v>8</v>
      </c>
      <c r="B13" s="40">
        <v>19778</v>
      </c>
      <c r="C13" s="48">
        <v>17162</v>
      </c>
      <c r="D13" s="22">
        <f t="shared" si="0"/>
        <v>-2616</v>
      </c>
      <c r="E13" s="72">
        <f t="shared" si="1"/>
        <v>-0.13226817676205885</v>
      </c>
      <c r="F13" s="40">
        <v>13841</v>
      </c>
      <c r="G13" s="48">
        <v>11009</v>
      </c>
      <c r="H13" s="22">
        <f t="shared" si="2"/>
        <v>-2832</v>
      </c>
      <c r="I13" s="72">
        <f t="shared" si="3"/>
        <v>-0.20460949353370422</v>
      </c>
      <c r="J13" s="40">
        <v>12063</v>
      </c>
      <c r="K13" s="48">
        <v>11665</v>
      </c>
      <c r="L13" s="22">
        <f t="shared" si="4"/>
        <v>-398</v>
      </c>
      <c r="M13" s="72">
        <f t="shared" si="5"/>
        <v>-3.2993451048661193E-2</v>
      </c>
      <c r="N13" s="40">
        <f t="shared" si="9"/>
        <v>45682</v>
      </c>
      <c r="O13" s="35">
        <f t="shared" si="6"/>
        <v>39836</v>
      </c>
      <c r="P13" s="22">
        <f t="shared" si="7"/>
        <v>-5846</v>
      </c>
      <c r="Q13" s="72">
        <f t="shared" si="8"/>
        <v>-0.12797162996366185</v>
      </c>
    </row>
    <row r="14" spans="1:17" ht="11.25" customHeight="1">
      <c r="A14" s="20" t="s">
        <v>9</v>
      </c>
      <c r="B14" s="38">
        <v>17275</v>
      </c>
      <c r="C14" s="47">
        <v>17783</v>
      </c>
      <c r="D14" s="21">
        <f t="shared" si="0"/>
        <v>508</v>
      </c>
      <c r="E14" s="71">
        <f t="shared" si="1"/>
        <v>2.9406657018813315E-2</v>
      </c>
      <c r="F14" s="38">
        <v>10911</v>
      </c>
      <c r="G14" s="47">
        <v>10282</v>
      </c>
      <c r="H14" s="21">
        <f t="shared" si="2"/>
        <v>-629</v>
      </c>
      <c r="I14" s="71">
        <f t="shared" si="3"/>
        <v>-5.7648244890477499E-2</v>
      </c>
      <c r="J14" s="38">
        <v>8386</v>
      </c>
      <c r="K14" s="47">
        <v>13866</v>
      </c>
      <c r="L14" s="21">
        <f t="shared" si="4"/>
        <v>5480</v>
      </c>
      <c r="M14" s="71">
        <f t="shared" si="5"/>
        <v>0.65347006916289052</v>
      </c>
      <c r="N14" s="38">
        <f t="shared" si="9"/>
        <v>36572</v>
      </c>
      <c r="O14" s="34">
        <f t="shared" si="6"/>
        <v>41931</v>
      </c>
      <c r="P14" s="21">
        <f t="shared" si="7"/>
        <v>5359</v>
      </c>
      <c r="Q14" s="71">
        <f t="shared" si="8"/>
        <v>0.14653286667395821</v>
      </c>
    </row>
    <row r="15" spans="1:17" ht="11.25" customHeight="1">
      <c r="A15" s="20" t="s">
        <v>10</v>
      </c>
      <c r="B15" s="38">
        <v>16311</v>
      </c>
      <c r="C15" s="47">
        <v>15957</v>
      </c>
      <c r="D15" s="21">
        <f t="shared" si="0"/>
        <v>-354</v>
      </c>
      <c r="E15" s="71">
        <f t="shared" si="1"/>
        <v>-2.170314511679235E-2</v>
      </c>
      <c r="F15" s="38">
        <v>12055</v>
      </c>
      <c r="G15" s="47">
        <v>10150</v>
      </c>
      <c r="H15" s="21">
        <f t="shared" si="2"/>
        <v>-1905</v>
      </c>
      <c r="I15" s="71">
        <f t="shared" si="3"/>
        <v>-0.15802571547075903</v>
      </c>
      <c r="J15" s="38">
        <v>11430</v>
      </c>
      <c r="K15" s="47">
        <v>13819</v>
      </c>
      <c r="L15" s="21">
        <f t="shared" si="4"/>
        <v>2389</v>
      </c>
      <c r="M15" s="71">
        <f t="shared" si="5"/>
        <v>0.20901137357830271</v>
      </c>
      <c r="N15" s="38">
        <f t="shared" si="9"/>
        <v>39796</v>
      </c>
      <c r="O15" s="34">
        <f t="shared" si="6"/>
        <v>39926</v>
      </c>
      <c r="P15" s="21">
        <f t="shared" si="7"/>
        <v>130</v>
      </c>
      <c r="Q15" s="71">
        <f t="shared" si="8"/>
        <v>3.266659965825711E-3</v>
      </c>
    </row>
    <row r="16" spans="1:17" ht="11.25" customHeight="1">
      <c r="A16" s="27" t="s">
        <v>11</v>
      </c>
      <c r="B16" s="40">
        <v>16227</v>
      </c>
      <c r="C16" s="48">
        <v>16293</v>
      </c>
      <c r="D16" s="22">
        <f t="shared" si="0"/>
        <v>66</v>
      </c>
      <c r="E16" s="72">
        <f t="shared" si="1"/>
        <v>4.0672952486596409E-3</v>
      </c>
      <c r="F16" s="40">
        <v>13297</v>
      </c>
      <c r="G16" s="48">
        <v>10242</v>
      </c>
      <c r="H16" s="22">
        <f t="shared" si="2"/>
        <v>-3055</v>
      </c>
      <c r="I16" s="72">
        <f t="shared" si="3"/>
        <v>-0.22975107167030157</v>
      </c>
      <c r="J16" s="40">
        <v>10884</v>
      </c>
      <c r="K16" s="48">
        <v>16215</v>
      </c>
      <c r="L16" s="22">
        <f t="shared" si="4"/>
        <v>5331</v>
      </c>
      <c r="M16" s="72">
        <f t="shared" si="5"/>
        <v>0.48980154355016536</v>
      </c>
      <c r="N16" s="40">
        <f t="shared" si="9"/>
        <v>40408</v>
      </c>
      <c r="O16" s="35">
        <f t="shared" si="6"/>
        <v>42750</v>
      </c>
      <c r="P16" s="22">
        <f t="shared" si="7"/>
        <v>2342</v>
      </c>
      <c r="Q16" s="72">
        <f t="shared" si="8"/>
        <v>5.7958820035636509E-2</v>
      </c>
    </row>
    <row r="17" spans="1:21" ht="11.25" customHeight="1">
      <c r="A17" s="20" t="s">
        <v>12</v>
      </c>
      <c r="B17" s="38">
        <v>17268</v>
      </c>
      <c r="C17" s="47">
        <v>17438</v>
      </c>
      <c r="D17" s="21">
        <f t="shared" si="0"/>
        <v>170</v>
      </c>
      <c r="E17" s="71">
        <f t="shared" si="1"/>
        <v>9.8447996293722501E-3</v>
      </c>
      <c r="F17" s="38">
        <v>11809</v>
      </c>
      <c r="G17" s="47">
        <v>11158</v>
      </c>
      <c r="H17" s="21">
        <f t="shared" si="2"/>
        <v>-651</v>
      </c>
      <c r="I17" s="71">
        <f t="shared" si="3"/>
        <v>-5.5127445168938943E-2</v>
      </c>
      <c r="J17" s="38">
        <v>13351</v>
      </c>
      <c r="K17" s="47">
        <v>18543</v>
      </c>
      <c r="L17" s="21">
        <f t="shared" si="4"/>
        <v>5192</v>
      </c>
      <c r="M17" s="71">
        <f t="shared" si="5"/>
        <v>0.38888472773575011</v>
      </c>
      <c r="N17" s="38">
        <f t="shared" si="9"/>
        <v>42428</v>
      </c>
      <c r="O17" s="34">
        <f t="shared" si="6"/>
        <v>47139</v>
      </c>
      <c r="P17" s="21">
        <f t="shared" si="7"/>
        <v>4711</v>
      </c>
      <c r="Q17" s="71">
        <f t="shared" si="8"/>
        <v>0.11103516545677383</v>
      </c>
    </row>
    <row r="18" spans="1:21" ht="11.25" customHeight="1">
      <c r="A18" s="20" t="s">
        <v>13</v>
      </c>
      <c r="B18" s="38">
        <v>16827</v>
      </c>
      <c r="C18" s="47">
        <v>14699</v>
      </c>
      <c r="D18" s="21">
        <f t="shared" si="0"/>
        <v>-2128</v>
      </c>
      <c r="E18" s="71">
        <f t="shared" si="1"/>
        <v>-0.12646342188149998</v>
      </c>
      <c r="F18" s="38">
        <v>9797</v>
      </c>
      <c r="G18" s="47">
        <v>8729</v>
      </c>
      <c r="H18" s="21">
        <f t="shared" si="2"/>
        <v>-1068</v>
      </c>
      <c r="I18" s="71">
        <f t="shared" si="3"/>
        <v>-0.1090129631519853</v>
      </c>
      <c r="J18" s="38">
        <v>10414</v>
      </c>
      <c r="K18" s="47">
        <v>13467</v>
      </c>
      <c r="L18" s="21">
        <f t="shared" si="4"/>
        <v>3053</v>
      </c>
      <c r="M18" s="71">
        <f t="shared" si="5"/>
        <v>0.29316304974073365</v>
      </c>
      <c r="N18" s="38">
        <f t="shared" si="9"/>
        <v>37038</v>
      </c>
      <c r="O18" s="34">
        <f t="shared" si="6"/>
        <v>36895</v>
      </c>
      <c r="P18" s="21">
        <f t="shared" si="7"/>
        <v>-143</v>
      </c>
      <c r="Q18" s="71">
        <f t="shared" si="8"/>
        <v>-3.860899616609968E-3</v>
      </c>
    </row>
    <row r="19" spans="1:21" ht="11.25" customHeight="1">
      <c r="A19" s="27" t="s">
        <v>14</v>
      </c>
      <c r="B19" s="40">
        <v>16181</v>
      </c>
      <c r="C19" s="48">
        <v>17669</v>
      </c>
      <c r="D19" s="22">
        <f t="shared" si="0"/>
        <v>1488</v>
      </c>
      <c r="E19" s="72">
        <f t="shared" si="1"/>
        <v>9.1959705827822757E-2</v>
      </c>
      <c r="F19" s="40">
        <v>11114</v>
      </c>
      <c r="G19" s="48">
        <v>10568</v>
      </c>
      <c r="H19" s="22">
        <f t="shared" si="2"/>
        <v>-546</v>
      </c>
      <c r="I19" s="72">
        <f t="shared" si="3"/>
        <v>-4.9127226921000543E-2</v>
      </c>
      <c r="J19" s="40">
        <v>12761</v>
      </c>
      <c r="K19" s="48">
        <v>13796</v>
      </c>
      <c r="L19" s="22">
        <f t="shared" si="4"/>
        <v>1035</v>
      </c>
      <c r="M19" s="72">
        <f t="shared" si="5"/>
        <v>8.1106496356084939E-2</v>
      </c>
      <c r="N19" s="40">
        <f t="shared" si="9"/>
        <v>40056</v>
      </c>
      <c r="O19" s="35">
        <f t="shared" si="6"/>
        <v>42033</v>
      </c>
      <c r="P19" s="22">
        <f t="shared" si="7"/>
        <v>1977</v>
      </c>
      <c r="Q19" s="72">
        <f t="shared" si="8"/>
        <v>4.9355901737567404E-2</v>
      </c>
    </row>
    <row r="20" spans="1:21" ht="11.25" customHeight="1">
      <c r="A20" s="20" t="s">
        <v>15</v>
      </c>
      <c r="B20" s="38">
        <v>17752</v>
      </c>
      <c r="C20" s="47"/>
      <c r="D20" s="21" t="str">
        <f t="shared" si="0"/>
        <v/>
      </c>
      <c r="E20" s="71" t="str">
        <f t="shared" si="1"/>
        <v/>
      </c>
      <c r="F20" s="38">
        <v>10993</v>
      </c>
      <c r="G20" s="47"/>
      <c r="H20" s="21" t="str">
        <f t="shared" si="2"/>
        <v/>
      </c>
      <c r="I20" s="71" t="str">
        <f t="shared" si="3"/>
        <v/>
      </c>
      <c r="J20" s="38">
        <v>17832</v>
      </c>
      <c r="K20" s="47"/>
      <c r="L20" s="21" t="str">
        <f t="shared" si="4"/>
        <v/>
      </c>
      <c r="M20" s="71" t="str">
        <f t="shared" si="5"/>
        <v/>
      </c>
      <c r="N20" s="38">
        <f t="shared" si="9"/>
        <v>46577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v>17690</v>
      </c>
      <c r="C21" s="47"/>
      <c r="D21" s="21" t="str">
        <f t="shared" si="0"/>
        <v/>
      </c>
      <c r="E21" s="71" t="str">
        <f t="shared" si="1"/>
        <v/>
      </c>
      <c r="F21" s="38">
        <v>10757</v>
      </c>
      <c r="G21" s="47"/>
      <c r="H21" s="21" t="str">
        <f t="shared" si="2"/>
        <v/>
      </c>
      <c r="I21" s="71" t="str">
        <f t="shared" si="3"/>
        <v/>
      </c>
      <c r="J21" s="38">
        <v>14985</v>
      </c>
      <c r="K21" s="47"/>
      <c r="L21" s="21" t="str">
        <f t="shared" si="4"/>
        <v/>
      </c>
      <c r="M21" s="71" t="str">
        <f t="shared" si="5"/>
        <v/>
      </c>
      <c r="N21" s="38">
        <f t="shared" si="9"/>
        <v>43432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v>12505</v>
      </c>
      <c r="C22" s="49"/>
      <c r="D22" s="21" t="str">
        <f t="shared" si="0"/>
        <v/>
      </c>
      <c r="E22" s="57" t="str">
        <f t="shared" si="1"/>
        <v/>
      </c>
      <c r="F22" s="39">
        <v>8158</v>
      </c>
      <c r="G22" s="49"/>
      <c r="H22" s="21" t="str">
        <f t="shared" si="2"/>
        <v/>
      </c>
      <c r="I22" s="57" t="str">
        <f t="shared" si="3"/>
        <v/>
      </c>
      <c r="J22" s="39">
        <v>9362</v>
      </c>
      <c r="K22" s="49"/>
      <c r="L22" s="21" t="str">
        <f t="shared" si="4"/>
        <v/>
      </c>
      <c r="M22" s="57" t="str">
        <f t="shared" si="5"/>
        <v/>
      </c>
      <c r="N22" s="39">
        <f t="shared" si="9"/>
        <v>30025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154630</v>
      </c>
      <c r="C23" s="42">
        <f>IF(C11="","",SUM(C11:C22))</f>
        <v>147983</v>
      </c>
      <c r="D23" s="43">
        <f>IF(D11="","",SUM(D11:D22))</f>
        <v>-6647</v>
      </c>
      <c r="E23" s="64">
        <f t="shared" si="1"/>
        <v>-4.2986483864709303E-2</v>
      </c>
      <c r="F23" s="41">
        <f>IF(G24&lt;7,F24,F25)</f>
        <v>107719</v>
      </c>
      <c r="G23" s="42">
        <f>IF(G11="","",SUM(G11:G22))</f>
        <v>92394</v>
      </c>
      <c r="H23" s="43">
        <f>IF(H11="","",SUM(H11:H22))</f>
        <v>-15325</v>
      </c>
      <c r="I23" s="64">
        <f t="shared" si="3"/>
        <v>-0.14226830921193104</v>
      </c>
      <c r="J23" s="41">
        <f>IF(K24&lt;7,J24,J25)</f>
        <v>98295</v>
      </c>
      <c r="K23" s="42">
        <f>IF(K11="","",SUM(K11:K22))</f>
        <v>128120</v>
      </c>
      <c r="L23" s="43">
        <f>IF(L11="","",SUM(L11:L22))</f>
        <v>29825</v>
      </c>
      <c r="M23" s="64">
        <f t="shared" si="5"/>
        <v>0.30342336843176154</v>
      </c>
      <c r="N23" s="41">
        <f>IF(O24&lt;7,N24,N25)</f>
        <v>360644</v>
      </c>
      <c r="O23" s="42">
        <f>IF(O11="","",SUM(O11:O22))</f>
        <v>368497</v>
      </c>
      <c r="P23" s="43">
        <f>IF(P11="","",SUM(P11:P22))</f>
        <v>7853</v>
      </c>
      <c r="Q23" s="64">
        <f t="shared" si="8"/>
        <v>2.1774935947915394E-2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154630</v>
      </c>
      <c r="F25" s="91">
        <f>IF(G24=7,SUM(F11:F17),IF(G24=8,SUM(F11:F18),IF(G24=9,SUM(F11:F19),IF(G24=10,SUM(F11:F20),IF(G24=11,SUM(F11:F21),SUM(F11:F22))))))</f>
        <v>107719</v>
      </c>
      <c r="J25" s="91">
        <f>IF(K24=7,SUM(J11:J17),IF(K24=8,SUM(J11:J18),IF(K24=9,SUM(J11:J19),IF(K24=10,SUM(J11:J20),IF(K24=11,SUM(J11:J21),SUM(J11:J22))))))</f>
        <v>98295</v>
      </c>
      <c r="N25" s="91">
        <f>IF(O24=7,SUM(N11:N17),IF(O24=8,SUM(N11:N18),IF(O24=9,SUM(N11:N19),IF(O24=10,SUM(N11:N20),IF(O24=11,SUM(N11:N21),SUM(N11:N22))))))</f>
        <v>360644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>IF(C11="","",B11/$R31)</f>
        <v>780.40909090909088</v>
      </c>
      <c r="C31" s="81">
        <f>IF(C11="","",C11/$S31)</f>
        <v>724.40909090909088</v>
      </c>
      <c r="D31" s="77">
        <f>IF(C31="","",C31-B31)</f>
        <v>-56</v>
      </c>
      <c r="E31" s="73">
        <f>IF(C31="","",(C31-B31)/ABS(B31))</f>
        <v>-7.1757236880424027E-2</v>
      </c>
      <c r="F31" s="78">
        <f>IF(G11="","",F11/$R31)</f>
        <v>553.31818181818187</v>
      </c>
      <c r="G31" s="81">
        <f>IF(G11="","",G11/$S31)</f>
        <v>469</v>
      </c>
      <c r="H31" s="96">
        <f>IF(G31="","",G31-F31)</f>
        <v>-84.31818181818187</v>
      </c>
      <c r="I31" s="73">
        <f>IF(G31="","",(G31-F31)/ABS(F31))</f>
        <v>-0.15238642898217375</v>
      </c>
      <c r="J31" s="78">
        <f>IF(K11="","",J11/$R31)</f>
        <v>423.22727272727275</v>
      </c>
      <c r="K31" s="81">
        <f>IF(K11="","",K11/$S31)</f>
        <v>492</v>
      </c>
      <c r="L31" s="96">
        <f>IF(K31="","",K31-J31)</f>
        <v>68.772727272727252</v>
      </c>
      <c r="M31" s="73">
        <f>IF(K31="","",(K31-J31)/ABS(J31))</f>
        <v>0.16249597250563844</v>
      </c>
      <c r="N31" s="78">
        <f>IF(O11="","",N11/$R31)</f>
        <v>1756.9545454545455</v>
      </c>
      <c r="O31" s="81">
        <f>IF(O11="","",O11/$S31)</f>
        <v>1685.409090909091</v>
      </c>
      <c r="P31" s="96">
        <f>IF(O31="","",O31-N31)</f>
        <v>-71.545454545454504</v>
      </c>
      <c r="Q31" s="71">
        <f>IF(O31="","",(O31-N31)/ABS(N31))</f>
        <v>-4.0721289421260937E-2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ref="B32:B42" si="10">IF(C12="","",B12/$R32)</f>
        <v>837.80952380952385</v>
      </c>
      <c r="C32" s="81">
        <f t="shared" ref="C32:C42" si="11">IF(C12="","",C12/$S32)</f>
        <v>752.25</v>
      </c>
      <c r="D32" s="77">
        <f t="shared" ref="D32:D42" si="12">IF(C32="","",C32-B32)</f>
        <v>-85.559523809523853</v>
      </c>
      <c r="E32" s="73">
        <f t="shared" ref="E32:E43" si="13">IF(C32="","",(C32-B32)/ABS(B32))</f>
        <v>-0.10212288280095491</v>
      </c>
      <c r="F32" s="78">
        <f t="shared" ref="F32:F42" si="14">IF(G12="","",F12/$R32)</f>
        <v>605.80952380952385</v>
      </c>
      <c r="G32" s="81">
        <f t="shared" ref="G32:G42" si="15">IF(G12="","",G12/$S32)</f>
        <v>496.9</v>
      </c>
      <c r="H32" s="96">
        <f t="shared" ref="H32:H42" si="16">IF(G32="","",G32-F32)</f>
        <v>-108.90952380952388</v>
      </c>
      <c r="I32" s="73">
        <f t="shared" ref="I32:I43" si="17">IF(G32="","",(G32-F32)/ABS(F32))</f>
        <v>-0.17977519257978314</v>
      </c>
      <c r="J32" s="78">
        <f t="shared" ref="J32:J42" si="18">IF(K12="","",J12/$R32)</f>
        <v>461.66666666666669</v>
      </c>
      <c r="K32" s="81">
        <f t="shared" ref="K32:K42" si="19">IF(K12="","",K12/$S32)</f>
        <v>796.25</v>
      </c>
      <c r="L32" s="96">
        <f t="shared" ref="L32:L42" si="20">IF(K32="","",K32-J32)</f>
        <v>334.58333333333331</v>
      </c>
      <c r="M32" s="73">
        <f t="shared" ref="M32:M43" si="21">IF(K32="","",(K32-J32)/ABS(J32))</f>
        <v>0.72472924187725629</v>
      </c>
      <c r="N32" s="78">
        <f t="shared" ref="N32:N42" si="22">IF(O12="","",N12/$R32)</f>
        <v>1905.2857142857142</v>
      </c>
      <c r="O32" s="81">
        <f t="shared" ref="O32:O42" si="23">IF(O12="","",O12/$S32)</f>
        <v>2045.4</v>
      </c>
      <c r="P32" s="96">
        <f t="shared" ref="P32:P42" si="24">IF(O32="","",O32-N32)</f>
        <v>140.11428571428587</v>
      </c>
      <c r="Q32" s="71">
        <f t="shared" ref="Q32:Q43" si="25">IF(O32="","",(O32-N32)/ABS(N32))</f>
        <v>7.3539776561445683E-2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899</v>
      </c>
      <c r="C33" s="82">
        <f t="shared" si="11"/>
        <v>858.1</v>
      </c>
      <c r="D33" s="84">
        <f t="shared" si="12"/>
        <v>-40.899999999999977</v>
      </c>
      <c r="E33" s="74">
        <f t="shared" si="13"/>
        <v>-4.5494994438264713E-2</v>
      </c>
      <c r="F33" s="79">
        <f t="shared" si="14"/>
        <v>629.13636363636363</v>
      </c>
      <c r="G33" s="82">
        <f t="shared" si="15"/>
        <v>550.45000000000005</v>
      </c>
      <c r="H33" s="97">
        <f t="shared" si="16"/>
        <v>-78.686363636363581</v>
      </c>
      <c r="I33" s="74">
        <f t="shared" si="17"/>
        <v>-0.12507044288707456</v>
      </c>
      <c r="J33" s="79">
        <f t="shared" si="18"/>
        <v>548.31818181818187</v>
      </c>
      <c r="K33" s="82">
        <f t="shared" si="19"/>
        <v>583.25</v>
      </c>
      <c r="L33" s="97">
        <f t="shared" si="20"/>
        <v>34.93181818181813</v>
      </c>
      <c r="M33" s="74">
        <f t="shared" si="21"/>
        <v>6.370720384647259E-2</v>
      </c>
      <c r="N33" s="79">
        <f t="shared" si="22"/>
        <v>2076.4545454545455</v>
      </c>
      <c r="O33" s="82">
        <f t="shared" si="23"/>
        <v>1991.8</v>
      </c>
      <c r="P33" s="97">
        <f t="shared" si="24"/>
        <v>-84.654545454545541</v>
      </c>
      <c r="Q33" s="72">
        <f t="shared" si="25"/>
        <v>-4.0768792960028062E-2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909.21052631578948</v>
      </c>
      <c r="C34" s="81">
        <f t="shared" si="11"/>
        <v>846.80952380952385</v>
      </c>
      <c r="D34" s="77">
        <f t="shared" si="12"/>
        <v>-62.401002506265627</v>
      </c>
      <c r="E34" s="73">
        <f t="shared" si="13"/>
        <v>-6.863207222107362E-2</v>
      </c>
      <c r="F34" s="78">
        <f t="shared" si="14"/>
        <v>574.26315789473688</v>
      </c>
      <c r="G34" s="81">
        <f t="shared" si="15"/>
        <v>489.61904761904759</v>
      </c>
      <c r="H34" s="96">
        <f t="shared" si="16"/>
        <v>-84.644110275689286</v>
      </c>
      <c r="I34" s="73">
        <f t="shared" si="17"/>
        <v>-0.14739603109138449</v>
      </c>
      <c r="J34" s="78">
        <f t="shared" si="18"/>
        <v>441.36842105263156</v>
      </c>
      <c r="K34" s="81">
        <f t="shared" si="19"/>
        <v>660.28571428571433</v>
      </c>
      <c r="L34" s="96">
        <f t="shared" si="20"/>
        <v>218.91729323308277</v>
      </c>
      <c r="M34" s="73">
        <f t="shared" si="21"/>
        <v>0.4959967292426154</v>
      </c>
      <c r="N34" s="78">
        <f t="shared" si="22"/>
        <v>1924.8421052631579</v>
      </c>
      <c r="O34" s="81">
        <f t="shared" si="23"/>
        <v>1996.7142857142858</v>
      </c>
      <c r="P34" s="96">
        <f t="shared" si="24"/>
        <v>71.872180451127861</v>
      </c>
      <c r="Q34" s="71">
        <f t="shared" si="25"/>
        <v>3.7339260324057461E-2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815.55</v>
      </c>
      <c r="C35" s="81">
        <f t="shared" si="11"/>
        <v>797.85</v>
      </c>
      <c r="D35" s="77">
        <f t="shared" si="12"/>
        <v>-17.699999999999932</v>
      </c>
      <c r="E35" s="73">
        <f t="shared" si="13"/>
        <v>-2.1703145116792267E-2</v>
      </c>
      <c r="F35" s="78">
        <f t="shared" si="14"/>
        <v>602.75</v>
      </c>
      <c r="G35" s="81">
        <f t="shared" si="15"/>
        <v>507.5</v>
      </c>
      <c r="H35" s="96">
        <f t="shared" si="16"/>
        <v>-95.25</v>
      </c>
      <c r="I35" s="73">
        <f t="shared" si="17"/>
        <v>-0.15802571547075903</v>
      </c>
      <c r="J35" s="78">
        <f t="shared" si="18"/>
        <v>571.5</v>
      </c>
      <c r="K35" s="81">
        <f t="shared" si="19"/>
        <v>690.95</v>
      </c>
      <c r="L35" s="96">
        <f t="shared" si="20"/>
        <v>119.45000000000005</v>
      </c>
      <c r="M35" s="73">
        <f t="shared" si="21"/>
        <v>0.20901137357830279</v>
      </c>
      <c r="N35" s="78">
        <f t="shared" si="22"/>
        <v>1989.8</v>
      </c>
      <c r="O35" s="81">
        <f t="shared" si="23"/>
        <v>1996.3</v>
      </c>
      <c r="P35" s="96">
        <f t="shared" si="24"/>
        <v>6.5</v>
      </c>
      <c r="Q35" s="71">
        <f t="shared" si="25"/>
        <v>3.2666599658257114E-3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772.71428571428567</v>
      </c>
      <c r="C36" s="82">
        <f t="shared" si="11"/>
        <v>814.65</v>
      </c>
      <c r="D36" s="84">
        <f t="shared" si="12"/>
        <v>41.935714285714312</v>
      </c>
      <c r="E36" s="74">
        <f t="shared" si="13"/>
        <v>5.427066001109266E-2</v>
      </c>
      <c r="F36" s="79">
        <f t="shared" si="14"/>
        <v>633.19047619047615</v>
      </c>
      <c r="G36" s="82">
        <f t="shared" si="15"/>
        <v>512.1</v>
      </c>
      <c r="H36" s="97">
        <f t="shared" si="16"/>
        <v>-121.09047619047612</v>
      </c>
      <c r="I36" s="74">
        <f t="shared" si="17"/>
        <v>-0.19123862525381655</v>
      </c>
      <c r="J36" s="79">
        <f t="shared" si="18"/>
        <v>518.28571428571433</v>
      </c>
      <c r="K36" s="82">
        <f t="shared" si="19"/>
        <v>810.75</v>
      </c>
      <c r="L36" s="97">
        <f t="shared" si="20"/>
        <v>292.46428571428567</v>
      </c>
      <c r="M36" s="74">
        <f t="shared" si="21"/>
        <v>0.56429162072767347</v>
      </c>
      <c r="N36" s="79">
        <f t="shared" si="22"/>
        <v>1924.1904761904761</v>
      </c>
      <c r="O36" s="82">
        <f t="shared" si="23"/>
        <v>2137.5</v>
      </c>
      <c r="P36" s="97">
        <f t="shared" si="24"/>
        <v>213.30952380952385</v>
      </c>
      <c r="Q36" s="72">
        <f t="shared" si="25"/>
        <v>0.11085676103741836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784.90909090909088</v>
      </c>
      <c r="C37" s="81">
        <f t="shared" si="11"/>
        <v>758.17391304347825</v>
      </c>
      <c r="D37" s="77">
        <f t="shared" si="12"/>
        <v>-26.735177865612627</v>
      </c>
      <c r="E37" s="73">
        <f t="shared" si="13"/>
        <v>-3.406149600668739E-2</v>
      </c>
      <c r="F37" s="78">
        <f t="shared" si="14"/>
        <v>536.77272727272725</v>
      </c>
      <c r="G37" s="81">
        <f t="shared" si="15"/>
        <v>485.13043478260869</v>
      </c>
      <c r="H37" s="96">
        <f t="shared" si="16"/>
        <v>-51.642292490118564</v>
      </c>
      <c r="I37" s="73">
        <f t="shared" si="17"/>
        <v>-9.6208860596376358E-2</v>
      </c>
      <c r="J37" s="78">
        <f t="shared" si="18"/>
        <v>606.86363636363637</v>
      </c>
      <c r="K37" s="81">
        <f t="shared" si="19"/>
        <v>806.21739130434787</v>
      </c>
      <c r="L37" s="96">
        <f t="shared" si="20"/>
        <v>199.3537549407115</v>
      </c>
      <c r="M37" s="73">
        <f t="shared" si="21"/>
        <v>0.32849843522550015</v>
      </c>
      <c r="N37" s="78">
        <f t="shared" si="22"/>
        <v>1928.5454545454545</v>
      </c>
      <c r="O37" s="81">
        <f t="shared" si="23"/>
        <v>2049.521739130435</v>
      </c>
      <c r="P37" s="96">
        <f t="shared" si="24"/>
        <v>120.97628458498048</v>
      </c>
      <c r="Q37" s="71">
        <f t="shared" si="25"/>
        <v>6.2729288697783783E-2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764.86363636363637</v>
      </c>
      <c r="C38" s="81">
        <f t="shared" si="11"/>
        <v>699.95238095238096</v>
      </c>
      <c r="D38" s="77">
        <f t="shared" si="12"/>
        <v>-64.911255411255411</v>
      </c>
      <c r="E38" s="73">
        <f t="shared" si="13"/>
        <v>-8.4866441971095205E-2</v>
      </c>
      <c r="F38" s="78">
        <f t="shared" si="14"/>
        <v>445.31818181818181</v>
      </c>
      <c r="G38" s="81">
        <f t="shared" si="15"/>
        <v>415.66666666666669</v>
      </c>
      <c r="H38" s="96">
        <f t="shared" si="16"/>
        <v>-29.651515151515127</v>
      </c>
      <c r="I38" s="73">
        <f t="shared" si="17"/>
        <v>-6.6585009016365507E-2</v>
      </c>
      <c r="J38" s="78">
        <f t="shared" si="18"/>
        <v>473.36363636363637</v>
      </c>
      <c r="K38" s="81">
        <f t="shared" si="19"/>
        <v>641.28571428571433</v>
      </c>
      <c r="L38" s="96">
        <f t="shared" si="20"/>
        <v>167.92207792207796</v>
      </c>
      <c r="M38" s="73">
        <f t="shared" si="21"/>
        <v>0.35474224258553055</v>
      </c>
      <c r="N38" s="78">
        <f t="shared" si="22"/>
        <v>1683.5454545454545</v>
      </c>
      <c r="O38" s="81">
        <f t="shared" si="23"/>
        <v>1756.9047619047619</v>
      </c>
      <c r="P38" s="96">
        <f t="shared" si="24"/>
        <v>73.359307359307422</v>
      </c>
      <c r="Q38" s="71">
        <f t="shared" si="25"/>
        <v>4.3574295639741974E-2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809.05</v>
      </c>
      <c r="C39" s="82">
        <f t="shared" si="11"/>
        <v>841.38095238095241</v>
      </c>
      <c r="D39" s="84">
        <f t="shared" si="12"/>
        <v>32.330952380952453</v>
      </c>
      <c r="E39" s="74">
        <f t="shared" si="13"/>
        <v>3.9961624597926522E-2</v>
      </c>
      <c r="F39" s="79">
        <f t="shared" si="14"/>
        <v>555.70000000000005</v>
      </c>
      <c r="G39" s="82">
        <f t="shared" si="15"/>
        <v>503.23809523809524</v>
      </c>
      <c r="H39" s="97">
        <f t="shared" si="16"/>
        <v>-52.461904761904805</v>
      </c>
      <c r="I39" s="74">
        <f t="shared" si="17"/>
        <v>-9.4406882781905344E-2</v>
      </c>
      <c r="J39" s="79">
        <f t="shared" si="18"/>
        <v>638.04999999999995</v>
      </c>
      <c r="K39" s="82">
        <f t="shared" si="19"/>
        <v>656.95238095238096</v>
      </c>
      <c r="L39" s="97">
        <f t="shared" si="20"/>
        <v>18.902380952381009</v>
      </c>
      <c r="M39" s="74">
        <f t="shared" si="21"/>
        <v>2.9625234624842896E-2</v>
      </c>
      <c r="N39" s="79">
        <f t="shared" si="22"/>
        <v>2002.8</v>
      </c>
      <c r="O39" s="82">
        <f t="shared" si="23"/>
        <v>2001.5714285714287</v>
      </c>
      <c r="P39" s="97">
        <f t="shared" si="24"/>
        <v>-1.2285714285712857</v>
      </c>
      <c r="Q39" s="72">
        <f t="shared" si="25"/>
        <v>-6.1342691660239948E-4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AVERAGE(B31:B42)</f>
        <v>819.27957266904627</v>
      </c>
      <c r="C43" s="83">
        <f>IF(C11="","",AVERAGE(C31:C42))</f>
        <v>788.1750956772695</v>
      </c>
      <c r="D43" s="75">
        <f>IF(D31="","",AVERAGE(D31:D42))</f>
        <v>-31.104476991776739</v>
      </c>
      <c r="E43" s="65">
        <f t="shared" si="13"/>
        <v>-3.7965644487442447E-2</v>
      </c>
      <c r="F43" s="80">
        <f>AVERAGE(F31:F42)</f>
        <v>570.69540138224352</v>
      </c>
      <c r="G43" s="83">
        <f>IF(G11="","",AVERAGE(G31:G42))</f>
        <v>492.17824936737975</v>
      </c>
      <c r="H43" s="98">
        <f>IF(H31="","",AVERAGE(H31:H42))</f>
        <v>-78.517152014863697</v>
      </c>
      <c r="I43" s="65">
        <f t="shared" si="17"/>
        <v>-0.13758153968770834</v>
      </c>
      <c r="J43" s="80">
        <f>AVERAGE(J31:J42)</f>
        <v>520.29372547530454</v>
      </c>
      <c r="K43" s="83">
        <f>IF(K11="","",AVERAGE(K31:K42))</f>
        <v>681.99346675868424</v>
      </c>
      <c r="L43" s="98">
        <f>IF(L31="","",AVERAGE(L31:L42))</f>
        <v>161.69974128337972</v>
      </c>
      <c r="M43" s="65">
        <f t="shared" si="21"/>
        <v>0.3107854916675421</v>
      </c>
      <c r="N43" s="80">
        <f>AVERAGE(N31:N42)</f>
        <v>1910.268699526594</v>
      </c>
      <c r="O43" s="83">
        <f>IF(O11="","",AVERAGE(O31:O42))</f>
        <v>1962.3468118033334</v>
      </c>
      <c r="P43" s="98">
        <f>IF(P31="","",AVERAGE(P31:P42))</f>
        <v>52.078112276739347</v>
      </c>
      <c r="Q43" s="66">
        <f t="shared" si="25"/>
        <v>2.7262192114462985E-2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2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P29:Q29"/>
    <mergeCell ref="P9:Q9"/>
    <mergeCell ref="F28:I28"/>
    <mergeCell ref="J28:M28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  <mergeCell ref="B26:E27"/>
  </mergeCells>
  <phoneticPr fontId="0" type="noConversion"/>
  <conditionalFormatting sqref="B13:B16 B18:B21 F13:F16 N18:N21 J13:J16 J18:J21 N13:N16 F18:F19 F21">
    <cfRule type="expression" dxfId="38" priority="3" stopIfTrue="1">
      <formula>C13=""</formula>
    </cfRule>
  </conditionalFormatting>
  <conditionalFormatting sqref="B17 F20 B22 F17 F12 F22 J17 J12 J22 N17 N12 N22">
    <cfRule type="expression" dxfId="37" priority="4" stopIfTrue="1">
      <formula>C12=""</formula>
    </cfRule>
  </conditionalFormatting>
  <conditionalFormatting sqref="B12">
    <cfRule type="expression" dxfId="36" priority="5" stopIfTrue="1">
      <formula>C12=""</formula>
    </cfRule>
  </conditionalFormatting>
  <conditionalFormatting sqref="R43:S43 S31:S42">
    <cfRule type="expression" dxfId="35" priority="6" stopIfTrue="1">
      <formula>R31&lt;$R31</formula>
    </cfRule>
    <cfRule type="expression" dxfId="34" priority="7" stopIfTrue="1">
      <formula>R31&gt;$R31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99" t="s">
        <v>18</v>
      </c>
      <c r="B2" s="144" t="s">
        <v>47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8" t="s">
        <v>19</v>
      </c>
      <c r="E3" s="148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9988</v>
      </c>
      <c r="C11" s="47">
        <v>10080</v>
      </c>
      <c r="D11" s="21">
        <f>IF(OR(C11="",B11=0),"",C11-B11)</f>
        <v>92</v>
      </c>
      <c r="E11" s="71">
        <f t="shared" ref="E11:E22" si="0">IF(D11="","",D11/B11)</f>
        <v>9.2110532639166996E-3</v>
      </c>
      <c r="F11" s="38">
        <v>6828</v>
      </c>
      <c r="G11" s="47">
        <v>6536</v>
      </c>
      <c r="H11" s="21">
        <f>IF(OR(G11="",F11=0),"",G11-F11)</f>
        <v>-292</v>
      </c>
      <c r="I11" s="71">
        <f t="shared" ref="I11:I22" si="1">IF(H11="","",H11/F11)</f>
        <v>-4.2765084944346804E-2</v>
      </c>
      <c r="J11" s="38">
        <v>1067</v>
      </c>
      <c r="K11" s="47">
        <v>1520</v>
      </c>
      <c r="L11" s="21">
        <f>IF(OR(K11="",J11=0),"",K11-J11)</f>
        <v>453</v>
      </c>
      <c r="M11" s="71">
        <f t="shared" ref="M11:M22" si="2">IF(L11="","",L11/J11)</f>
        <v>0.42455482661668231</v>
      </c>
      <c r="N11" s="38">
        <f t="shared" ref="N11:N22" si="3">SUM(B11,F11,J11)</f>
        <v>17883</v>
      </c>
      <c r="O11" s="34">
        <f t="shared" ref="O11:O22" si="4">IF(C11="","",SUM(C11,G11,K11))</f>
        <v>18136</v>
      </c>
      <c r="P11" s="21">
        <f>IF(OR(O11="",N11=0),"",O11-N11)</f>
        <v>253</v>
      </c>
      <c r="Q11" s="71">
        <f t="shared" ref="Q11:Q22" si="5">IF(P11="","",P11/N11)</f>
        <v>1.4147514399150031E-2</v>
      </c>
    </row>
    <row r="12" spans="1:17" ht="11.25" customHeight="1">
      <c r="A12" s="20" t="s">
        <v>7</v>
      </c>
      <c r="B12" s="38">
        <v>10938</v>
      </c>
      <c r="C12" s="47">
        <v>9779</v>
      </c>
      <c r="D12" s="21">
        <f t="shared" ref="D12:D22" si="6">IF(OR(C12="",B12=0),"",C12-B12)</f>
        <v>-1159</v>
      </c>
      <c r="E12" s="71">
        <f t="shared" si="0"/>
        <v>-0.10596087036021211</v>
      </c>
      <c r="F12" s="38">
        <v>7660</v>
      </c>
      <c r="G12" s="47">
        <v>5814</v>
      </c>
      <c r="H12" s="21">
        <f t="shared" ref="H12:H22" si="7">IF(OR(G12="",F12=0),"",G12-F12)</f>
        <v>-1846</v>
      </c>
      <c r="I12" s="71">
        <f t="shared" si="1"/>
        <v>-0.24099216710182766</v>
      </c>
      <c r="J12" s="38">
        <v>546</v>
      </c>
      <c r="K12" s="47">
        <v>638</v>
      </c>
      <c r="L12" s="21">
        <f t="shared" ref="L12:L22" si="8">IF(OR(K12="",J12=0),"",K12-J12)</f>
        <v>92</v>
      </c>
      <c r="M12" s="71">
        <f t="shared" si="2"/>
        <v>0.16849816849816851</v>
      </c>
      <c r="N12" s="38">
        <f t="shared" si="3"/>
        <v>19144</v>
      </c>
      <c r="O12" s="34">
        <f t="shared" si="4"/>
        <v>16231</v>
      </c>
      <c r="P12" s="21">
        <f t="shared" ref="P12:P22" si="9">IF(OR(O12="",N12=0),"",O12-N12)</f>
        <v>-2913</v>
      </c>
      <c r="Q12" s="71">
        <f t="shared" si="5"/>
        <v>-0.15216255745925616</v>
      </c>
    </row>
    <row r="13" spans="1:17" ht="11.25" customHeight="1">
      <c r="A13" s="27" t="s">
        <v>8</v>
      </c>
      <c r="B13" s="40">
        <v>12924</v>
      </c>
      <c r="C13" s="48">
        <v>10403</v>
      </c>
      <c r="D13" s="22">
        <f t="shared" si="6"/>
        <v>-2521</v>
      </c>
      <c r="E13" s="72">
        <f t="shared" si="0"/>
        <v>-0.19506344784896318</v>
      </c>
      <c r="F13" s="40">
        <v>7945</v>
      </c>
      <c r="G13" s="48">
        <v>6328</v>
      </c>
      <c r="H13" s="22">
        <f t="shared" si="7"/>
        <v>-1617</v>
      </c>
      <c r="I13" s="72">
        <f t="shared" si="1"/>
        <v>-0.20352422907488987</v>
      </c>
      <c r="J13" s="40">
        <v>1408</v>
      </c>
      <c r="K13" s="48">
        <v>433</v>
      </c>
      <c r="L13" s="22">
        <f t="shared" si="8"/>
        <v>-975</v>
      </c>
      <c r="M13" s="72">
        <f t="shared" si="2"/>
        <v>-0.69247159090909094</v>
      </c>
      <c r="N13" s="40">
        <f t="shared" si="3"/>
        <v>22277</v>
      </c>
      <c r="O13" s="35">
        <f t="shared" si="4"/>
        <v>17164</v>
      </c>
      <c r="P13" s="22">
        <f t="shared" si="9"/>
        <v>-5113</v>
      </c>
      <c r="Q13" s="72">
        <f t="shared" si="5"/>
        <v>-0.22951923508551419</v>
      </c>
    </row>
    <row r="14" spans="1:17" ht="11.25" customHeight="1">
      <c r="A14" s="20" t="s">
        <v>9</v>
      </c>
      <c r="B14" s="38">
        <v>10916</v>
      </c>
      <c r="C14" s="47">
        <v>11852</v>
      </c>
      <c r="D14" s="21">
        <f t="shared" si="6"/>
        <v>936</v>
      </c>
      <c r="E14" s="71">
        <f t="shared" si="0"/>
        <v>8.5745694393550745E-2</v>
      </c>
      <c r="F14" s="38">
        <v>6558</v>
      </c>
      <c r="G14" s="47">
        <v>6022</v>
      </c>
      <c r="H14" s="21">
        <f t="shared" si="7"/>
        <v>-536</v>
      </c>
      <c r="I14" s="71">
        <f t="shared" si="1"/>
        <v>-8.173223543763343E-2</v>
      </c>
      <c r="J14" s="38">
        <v>1356</v>
      </c>
      <c r="K14" s="47">
        <v>1122</v>
      </c>
      <c r="L14" s="21">
        <f t="shared" si="8"/>
        <v>-234</v>
      </c>
      <c r="M14" s="71">
        <f t="shared" si="2"/>
        <v>-0.17256637168141592</v>
      </c>
      <c r="N14" s="38">
        <f t="shared" si="3"/>
        <v>18830</v>
      </c>
      <c r="O14" s="34">
        <f t="shared" si="4"/>
        <v>18996</v>
      </c>
      <c r="P14" s="21">
        <f t="shared" si="9"/>
        <v>166</v>
      </c>
      <c r="Q14" s="71">
        <f t="shared" si="5"/>
        <v>8.8157195963887418E-3</v>
      </c>
    </row>
    <row r="15" spans="1:17" ht="11.25" customHeight="1">
      <c r="A15" s="20" t="s">
        <v>10</v>
      </c>
      <c r="B15" s="38">
        <v>11879</v>
      </c>
      <c r="C15" s="47">
        <v>9986</v>
      </c>
      <c r="D15" s="21">
        <f t="shared" si="6"/>
        <v>-1893</v>
      </c>
      <c r="E15" s="71">
        <f t="shared" si="0"/>
        <v>-0.1593568482195471</v>
      </c>
      <c r="F15" s="38">
        <v>7358</v>
      </c>
      <c r="G15" s="47">
        <v>5402</v>
      </c>
      <c r="H15" s="21">
        <f t="shared" si="7"/>
        <v>-1956</v>
      </c>
      <c r="I15" s="71">
        <f t="shared" si="1"/>
        <v>-0.2658331068225061</v>
      </c>
      <c r="J15" s="38">
        <v>931</v>
      </c>
      <c r="K15" s="47">
        <v>692</v>
      </c>
      <c r="L15" s="21">
        <f t="shared" si="8"/>
        <v>-239</v>
      </c>
      <c r="M15" s="71">
        <f t="shared" si="2"/>
        <v>-0.25671321160042965</v>
      </c>
      <c r="N15" s="38">
        <f t="shared" si="3"/>
        <v>20168</v>
      </c>
      <c r="O15" s="34">
        <f t="shared" si="4"/>
        <v>16080</v>
      </c>
      <c r="P15" s="21">
        <f t="shared" si="9"/>
        <v>-4088</v>
      </c>
      <c r="Q15" s="71">
        <f t="shared" si="5"/>
        <v>-0.20269734232447442</v>
      </c>
    </row>
    <row r="16" spans="1:17" ht="11.25" customHeight="1">
      <c r="A16" s="27" t="s">
        <v>11</v>
      </c>
      <c r="B16" s="40">
        <v>11826</v>
      </c>
      <c r="C16" s="48">
        <v>10610</v>
      </c>
      <c r="D16" s="22">
        <f t="shared" si="6"/>
        <v>-1216</v>
      </c>
      <c r="E16" s="72">
        <f t="shared" si="0"/>
        <v>-0.10282428547268729</v>
      </c>
      <c r="F16" s="40">
        <v>6975</v>
      </c>
      <c r="G16" s="48">
        <v>5334</v>
      </c>
      <c r="H16" s="22">
        <f t="shared" si="7"/>
        <v>-1641</v>
      </c>
      <c r="I16" s="72">
        <f t="shared" si="1"/>
        <v>-0.23526881720430107</v>
      </c>
      <c r="J16" s="40">
        <v>449</v>
      </c>
      <c r="K16" s="48">
        <v>440</v>
      </c>
      <c r="L16" s="22">
        <f t="shared" si="8"/>
        <v>-9</v>
      </c>
      <c r="M16" s="72">
        <f t="shared" si="2"/>
        <v>-2.0044543429844099E-2</v>
      </c>
      <c r="N16" s="40">
        <f t="shared" si="3"/>
        <v>19250</v>
      </c>
      <c r="O16" s="35">
        <f t="shared" si="4"/>
        <v>16384</v>
      </c>
      <c r="P16" s="22">
        <f t="shared" si="9"/>
        <v>-2866</v>
      </c>
      <c r="Q16" s="72">
        <f t="shared" si="5"/>
        <v>-0.14888311688311689</v>
      </c>
    </row>
    <row r="17" spans="1:21" ht="11.25" customHeight="1">
      <c r="A17" s="20" t="s">
        <v>12</v>
      </c>
      <c r="B17" s="38">
        <v>11823</v>
      </c>
      <c r="C17" s="47">
        <v>11212</v>
      </c>
      <c r="D17" s="21">
        <f t="shared" si="6"/>
        <v>-611</v>
      </c>
      <c r="E17" s="71">
        <f t="shared" si="0"/>
        <v>-5.1678930897403365E-2</v>
      </c>
      <c r="F17" s="38">
        <v>7309</v>
      </c>
      <c r="G17" s="47">
        <v>5845</v>
      </c>
      <c r="H17" s="21">
        <f t="shared" si="7"/>
        <v>-1464</v>
      </c>
      <c r="I17" s="71">
        <f t="shared" si="1"/>
        <v>-0.20030099876864141</v>
      </c>
      <c r="J17" s="38">
        <v>1000</v>
      </c>
      <c r="K17" s="47">
        <v>713</v>
      </c>
      <c r="L17" s="21">
        <f t="shared" si="8"/>
        <v>-287</v>
      </c>
      <c r="M17" s="71">
        <f t="shared" si="2"/>
        <v>-0.28699999999999998</v>
      </c>
      <c r="N17" s="38">
        <f t="shared" si="3"/>
        <v>20132</v>
      </c>
      <c r="O17" s="34">
        <f t="shared" si="4"/>
        <v>17770</v>
      </c>
      <c r="P17" s="21">
        <f t="shared" si="9"/>
        <v>-2362</v>
      </c>
      <c r="Q17" s="71">
        <f t="shared" si="5"/>
        <v>-0.11732565070534473</v>
      </c>
    </row>
    <row r="18" spans="1:21" ht="11.25" customHeight="1">
      <c r="A18" s="20" t="s">
        <v>13</v>
      </c>
      <c r="B18" s="38">
        <v>11142</v>
      </c>
      <c r="C18" s="47">
        <v>9804</v>
      </c>
      <c r="D18" s="21">
        <f t="shared" si="6"/>
        <v>-1338</v>
      </c>
      <c r="E18" s="71">
        <f t="shared" si="0"/>
        <v>-0.12008616047388261</v>
      </c>
      <c r="F18" s="38">
        <v>6135</v>
      </c>
      <c r="G18" s="47">
        <v>4360</v>
      </c>
      <c r="H18" s="21">
        <f t="shared" si="7"/>
        <v>-1775</v>
      </c>
      <c r="I18" s="71">
        <f t="shared" si="1"/>
        <v>-0.28932355338223309</v>
      </c>
      <c r="J18" s="38">
        <v>929</v>
      </c>
      <c r="K18" s="47">
        <v>786</v>
      </c>
      <c r="L18" s="21">
        <f t="shared" si="8"/>
        <v>-143</v>
      </c>
      <c r="M18" s="71">
        <f t="shared" si="2"/>
        <v>-0.15392895586652314</v>
      </c>
      <c r="N18" s="38">
        <f t="shared" si="3"/>
        <v>18206</v>
      </c>
      <c r="O18" s="34">
        <f t="shared" si="4"/>
        <v>14950</v>
      </c>
      <c r="P18" s="21">
        <f t="shared" si="9"/>
        <v>-3256</v>
      </c>
      <c r="Q18" s="71">
        <f t="shared" si="5"/>
        <v>-0.17884213995386136</v>
      </c>
    </row>
    <row r="19" spans="1:21" ht="11.25" customHeight="1">
      <c r="A19" s="27" t="s">
        <v>14</v>
      </c>
      <c r="B19" s="40">
        <v>10874</v>
      </c>
      <c r="C19" s="48">
        <v>10879</v>
      </c>
      <c r="D19" s="22">
        <f t="shared" si="6"/>
        <v>5</v>
      </c>
      <c r="E19" s="72">
        <f t="shared" si="0"/>
        <v>4.5981239654221078E-4</v>
      </c>
      <c r="F19" s="40">
        <v>6638</v>
      </c>
      <c r="G19" s="48">
        <v>5973</v>
      </c>
      <c r="H19" s="22">
        <f t="shared" si="7"/>
        <v>-665</v>
      </c>
      <c r="I19" s="72">
        <f t="shared" si="1"/>
        <v>-0.10018077734257307</v>
      </c>
      <c r="J19" s="40">
        <v>824</v>
      </c>
      <c r="K19" s="48">
        <v>642</v>
      </c>
      <c r="L19" s="22">
        <f t="shared" si="8"/>
        <v>-182</v>
      </c>
      <c r="M19" s="72">
        <f t="shared" si="2"/>
        <v>-0.220873786407767</v>
      </c>
      <c r="N19" s="40">
        <f t="shared" si="3"/>
        <v>18336</v>
      </c>
      <c r="O19" s="35">
        <f t="shared" si="4"/>
        <v>17494</v>
      </c>
      <c r="P19" s="22">
        <f t="shared" si="9"/>
        <v>-842</v>
      </c>
      <c r="Q19" s="72">
        <f t="shared" si="5"/>
        <v>-4.5920593368237346E-2</v>
      </c>
    </row>
    <row r="20" spans="1:21" ht="11.25" customHeight="1">
      <c r="A20" s="20" t="s">
        <v>15</v>
      </c>
      <c r="B20" s="38">
        <v>12178</v>
      </c>
      <c r="C20" s="47"/>
      <c r="D20" s="21" t="str">
        <f t="shared" si="6"/>
        <v/>
      </c>
      <c r="E20" s="71" t="str">
        <f t="shared" si="0"/>
        <v/>
      </c>
      <c r="F20" s="38">
        <v>7226</v>
      </c>
      <c r="G20" s="47"/>
      <c r="H20" s="21" t="str">
        <f t="shared" si="7"/>
        <v/>
      </c>
      <c r="I20" s="71" t="str">
        <f t="shared" si="1"/>
        <v/>
      </c>
      <c r="J20" s="38">
        <v>874</v>
      </c>
      <c r="K20" s="47"/>
      <c r="L20" s="21" t="str">
        <f t="shared" si="8"/>
        <v/>
      </c>
      <c r="M20" s="71" t="str">
        <f t="shared" si="2"/>
        <v/>
      </c>
      <c r="N20" s="38">
        <f t="shared" si="3"/>
        <v>20278</v>
      </c>
      <c r="O20" s="34" t="str">
        <f t="shared" si="4"/>
        <v/>
      </c>
      <c r="P20" s="21" t="str">
        <f t="shared" si="9"/>
        <v/>
      </c>
      <c r="Q20" s="71" t="str">
        <f t="shared" si="5"/>
        <v/>
      </c>
    </row>
    <row r="21" spans="1:21" ht="11.25" customHeight="1">
      <c r="A21" s="20" t="s">
        <v>16</v>
      </c>
      <c r="B21" s="38">
        <v>11303</v>
      </c>
      <c r="C21" s="47"/>
      <c r="D21" s="21" t="str">
        <f t="shared" si="6"/>
        <v/>
      </c>
      <c r="E21" s="71" t="str">
        <f t="shared" si="0"/>
        <v/>
      </c>
      <c r="F21" s="38">
        <v>7029</v>
      </c>
      <c r="G21" s="47"/>
      <c r="H21" s="21" t="str">
        <f t="shared" si="7"/>
        <v/>
      </c>
      <c r="I21" s="71" t="str">
        <f t="shared" si="1"/>
        <v/>
      </c>
      <c r="J21" s="38">
        <v>1050</v>
      </c>
      <c r="K21" s="47"/>
      <c r="L21" s="21" t="str">
        <f t="shared" si="8"/>
        <v/>
      </c>
      <c r="M21" s="71" t="str">
        <f t="shared" si="2"/>
        <v/>
      </c>
      <c r="N21" s="38">
        <f t="shared" si="3"/>
        <v>19382</v>
      </c>
      <c r="O21" s="34" t="str">
        <f t="shared" si="4"/>
        <v/>
      </c>
      <c r="P21" s="21" t="str">
        <f t="shared" si="9"/>
        <v/>
      </c>
      <c r="Q21" s="71" t="str">
        <f t="shared" si="5"/>
        <v/>
      </c>
    </row>
    <row r="22" spans="1:21" ht="11.25" customHeight="1" thickBot="1">
      <c r="A22" s="23" t="s">
        <v>17</v>
      </c>
      <c r="B22" s="39">
        <v>8451</v>
      </c>
      <c r="C22" s="49"/>
      <c r="D22" s="21" t="str">
        <f t="shared" si="6"/>
        <v/>
      </c>
      <c r="E22" s="57" t="str">
        <f t="shared" si="0"/>
        <v/>
      </c>
      <c r="F22" s="39">
        <v>5390</v>
      </c>
      <c r="G22" s="49"/>
      <c r="H22" s="21" t="str">
        <f t="shared" si="7"/>
        <v/>
      </c>
      <c r="I22" s="57" t="str">
        <f t="shared" si="1"/>
        <v/>
      </c>
      <c r="J22" s="39">
        <v>820</v>
      </c>
      <c r="K22" s="49"/>
      <c r="L22" s="21" t="str">
        <f t="shared" si="8"/>
        <v/>
      </c>
      <c r="M22" s="57" t="str">
        <f t="shared" si="2"/>
        <v/>
      </c>
      <c r="N22" s="39">
        <f t="shared" si="3"/>
        <v>14661</v>
      </c>
      <c r="O22" s="36" t="str">
        <f t="shared" si="4"/>
        <v/>
      </c>
      <c r="P22" s="21" t="str">
        <f t="shared" si="9"/>
        <v/>
      </c>
      <c r="Q22" s="57" t="str">
        <f t="shared" si="5"/>
        <v/>
      </c>
    </row>
    <row r="23" spans="1:21" ht="11.25" customHeight="1" thickBot="1">
      <c r="A23" s="44" t="s">
        <v>3</v>
      </c>
      <c r="B23" s="41">
        <f>IF(C17="",B24,B25)</f>
        <v>102310</v>
      </c>
      <c r="C23" s="42">
        <f>IF(C11="","",SUM(C11:C22))</f>
        <v>94605</v>
      </c>
      <c r="D23" s="43">
        <f>IF(C11="","",SUM(D11:D22))</f>
        <v>-7705</v>
      </c>
      <c r="E23" s="64">
        <f>IF(OR(D23="",D23=0),"",D23/B23)</f>
        <v>-7.531033134590949E-2</v>
      </c>
      <c r="F23" s="41">
        <f>IF(G17="",F24,F25)</f>
        <v>63406</v>
      </c>
      <c r="G23" s="42">
        <f>IF(G11="","",SUM(G11:G22))</f>
        <v>51614</v>
      </c>
      <c r="H23" s="43">
        <f>IF(G11="","",SUM(H11:H22))</f>
        <v>-11792</v>
      </c>
      <c r="I23" s="64">
        <f>IF(OR(H23="",H23=0),"",H23/F23)</f>
        <v>-0.18597609059079581</v>
      </c>
      <c r="J23" s="41">
        <f>IF(K17="",J24,J25)</f>
        <v>8510</v>
      </c>
      <c r="K23" s="42">
        <f>IF(K11="","",SUM(K11:K22))</f>
        <v>6986</v>
      </c>
      <c r="L23" s="43">
        <f>IF(K11="","",SUM(L11:L22))</f>
        <v>-1524</v>
      </c>
      <c r="M23" s="64">
        <f>IF(OR(L23="",L23=0),"",L23/J23)</f>
        <v>-0.1790834312573443</v>
      </c>
      <c r="N23" s="41">
        <f>IF(O17="",N24,N25)</f>
        <v>174226</v>
      </c>
      <c r="O23" s="42">
        <f>IF(O11="","",SUM(O11:O22))</f>
        <v>153205</v>
      </c>
      <c r="P23" s="43">
        <f>IF(O11="","",SUM(P11:P22))</f>
        <v>-21021</v>
      </c>
      <c r="Q23" s="64">
        <f>IF(OR(P23="",P23=0),"",P23/N23)</f>
        <v>-0.12065363378600209</v>
      </c>
    </row>
    <row r="24" spans="1:21" ht="11.25" customHeight="1">
      <c r="A24" s="88" t="s">
        <v>28</v>
      </c>
      <c r="B24" s="93">
        <f>IF(C16&lt;&gt;"",SUM(B11:B16),IF(C15&lt;&gt;"",SUM(B11:B15),IF(C14&lt;&gt;"",SUM(B11:B14),IF(C13&lt;&gt;"",SUM(B11:B13),IF(C12&lt;&gt;"",SUM(B11:B12),B11)))))</f>
        <v>68471</v>
      </c>
      <c r="C24" s="59">
        <f>COUNTIF(C11:C22,"&gt;0")</f>
        <v>9</v>
      </c>
      <c r="D24" s="59"/>
      <c r="E24" s="60"/>
      <c r="F24" s="93">
        <f>IF(G16&lt;&gt;"",SUM(F11:F16),IF(G15&lt;&gt;"",SUM(F11:F15),IF(G14&lt;&gt;"",SUM(F11:F14),IF(G13&lt;&gt;"",SUM(F11:F13),IF(G12&lt;&gt;"",SUM(F11:F12),F11)))))</f>
        <v>43324</v>
      </c>
      <c r="G24" s="59">
        <f>COUNTIF(G11:G22,"&gt;0")</f>
        <v>9</v>
      </c>
      <c r="H24" s="59"/>
      <c r="I24" s="60"/>
      <c r="J24" s="93">
        <f>IF(K16&lt;&gt;"",SUM(J11:J16),IF(K15&lt;&gt;"",SUM(J11:J15),IF(K14&lt;&gt;"",SUM(J11:J14),IF(K13&lt;&gt;"",SUM(J11:J13),IF(K12&lt;&gt;"",SUM(J11:J12),J11)))))</f>
        <v>5757</v>
      </c>
      <c r="K24" s="59">
        <f>COUNTIF(K11:K22,"&gt;0")</f>
        <v>9</v>
      </c>
      <c r="L24" s="59"/>
      <c r="M24" s="60"/>
      <c r="N24" s="93">
        <f>IF(O16&lt;&gt;"",SUM(N11:N16),IF(O15&lt;&gt;"",SUM(N11:N15),IF(O14&lt;&gt;"",SUM(N11:N14),IF(O13&lt;&gt;"",SUM(N11:N13),IF(O12&lt;&gt;"",SUM(N11:N12),N11)))))</f>
        <v>117552</v>
      </c>
      <c r="O24" s="59">
        <f>COUNTIF(O11:O22,"&gt;0")</f>
        <v>9</v>
      </c>
      <c r="P24" s="59"/>
      <c r="Q24" s="60"/>
    </row>
    <row r="25" spans="1:21" ht="11.25" customHeight="1">
      <c r="B25" s="91">
        <f>IF(C22&lt;&gt;"",SUM(B11:B22),IF(C21&lt;&gt;"",SUM(B11:B21),IF(C20&lt;&gt;"",SUM(B11:B20),IF(C19&lt;&gt;"",SUM(B11:B19),IF(C18&lt;&gt;"",SUM(B11:B18),SUM(B11:B17))))))</f>
        <v>102310</v>
      </c>
      <c r="F25" s="91">
        <f>IF(G22&lt;&gt;"",SUM(F11:F22),IF(G21&lt;&gt;"",SUM(F11:F21),IF(G20&lt;&gt;"",SUM(F11:F20),IF(G19&lt;&gt;"",SUM(F11:F19),IF(G18&lt;&gt;"",SUM(F11:F18),SUM(F11:F17))))))</f>
        <v>63406</v>
      </c>
      <c r="J25" s="91">
        <f>IF(K22&lt;&gt;"",SUM(J11:J22),IF(K21&lt;&gt;"",SUM(J11:J21),IF(K20&lt;&gt;"",SUM(J11:J20),IF(K19&lt;&gt;"",SUM(J11:J19),IF(K18&lt;&gt;"",SUM(J11:J18),SUM(J11:J17))))))</f>
        <v>8510</v>
      </c>
      <c r="N25" s="91">
        <f>IF(O22&lt;&gt;"",SUM(N11:N22),IF(O21&lt;&gt;"",SUM(N11:N21),IF(O20&lt;&gt;"",SUM(N11:N20),IF(O19&lt;&gt;"",SUM(N11:N19),IF(O18&lt;&gt;"",SUM(N11:N18),SUM(N11:N17))))))</f>
        <v>174226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 t="shared" ref="B31:B42" si="10">IF(C11="","",B11/$R31)</f>
        <v>454</v>
      </c>
      <c r="C31" s="81">
        <f t="shared" ref="C31:C42" si="11">IF(C11="","",C11/$S31)</f>
        <v>458.18181818181819</v>
      </c>
      <c r="D31" s="77">
        <f>IF(OR(C31="",B31=0),"",C31-B31)</f>
        <v>4.181818181818187</v>
      </c>
      <c r="E31" s="73">
        <f>IF(D31="","",(C31-B31)/ABS(B31))</f>
        <v>9.2110532639167117E-3</v>
      </c>
      <c r="F31" s="78">
        <f t="shared" ref="F31:F42" si="12">IF(G11="","",F11/$R31)</f>
        <v>310.36363636363637</v>
      </c>
      <c r="G31" s="81">
        <f t="shared" ref="G31:G42" si="13">IF(G11="","",G11/$S31)</f>
        <v>297.09090909090907</v>
      </c>
      <c r="H31" s="77">
        <f>IF(OR(G31="",F31=0),"",G31-F31)</f>
        <v>-13.272727272727309</v>
      </c>
      <c r="I31" s="73">
        <f>IF(H31="","",(G31-F31)/ABS(F31))</f>
        <v>-4.2765084944346922E-2</v>
      </c>
      <c r="J31" s="78">
        <f t="shared" ref="J31:J42" si="14">IF(K11="","",J11/$R31)</f>
        <v>48.5</v>
      </c>
      <c r="K31" s="81">
        <f t="shared" ref="K31:K42" si="15">IF(K11="","",K11/$S31)</f>
        <v>69.090909090909093</v>
      </c>
      <c r="L31" s="77">
        <f>IF(OR(K31="",J31=0),"",K31-J31)</f>
        <v>20.590909090909093</v>
      </c>
      <c r="M31" s="73">
        <f>IF(L31="","",(K31-J31)/ABS(J31))</f>
        <v>0.42455482661668231</v>
      </c>
      <c r="N31" s="78">
        <f t="shared" ref="N31:N42" si="16">IF(O11="","",N11/$R31)</f>
        <v>812.86363636363637</v>
      </c>
      <c r="O31" s="81">
        <f t="shared" ref="O31:O42" si="17">IF(O11="","",O11/$S31)</f>
        <v>824.36363636363637</v>
      </c>
      <c r="P31" s="77">
        <f>IF(OR(O31="",N31=0),"",O31-N31)</f>
        <v>11.5</v>
      </c>
      <c r="Q31" s="73">
        <f>IF(P31="","",(O31-N31)/ABS(N31))</f>
        <v>1.4147514399150031E-2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520.85714285714289</v>
      </c>
      <c r="C32" s="81">
        <f t="shared" si="11"/>
        <v>488.95</v>
      </c>
      <c r="D32" s="77">
        <f t="shared" ref="D32:D42" si="18">IF(OR(C32="",B32=0),"",C32-B32)</f>
        <v>-31.907142857142901</v>
      </c>
      <c r="E32" s="73">
        <f t="shared" ref="E32:E42" si="19">IF(D32="","",(C32-B32)/ABS(B32))</f>
        <v>-6.1258913878222791E-2</v>
      </c>
      <c r="F32" s="78">
        <f t="shared" si="12"/>
        <v>364.76190476190476</v>
      </c>
      <c r="G32" s="81">
        <f t="shared" si="13"/>
        <v>290.7</v>
      </c>
      <c r="H32" s="77">
        <f t="shared" ref="H32:H42" si="20">IF(OR(G32="",F32=0),"",G32-F32)</f>
        <v>-74.061904761904771</v>
      </c>
      <c r="I32" s="73">
        <f t="shared" ref="I32:I42" si="21">IF(H32="","",(G32-F32)/ABS(F32))</f>
        <v>-0.20304177545691909</v>
      </c>
      <c r="J32" s="78">
        <f t="shared" si="14"/>
        <v>26</v>
      </c>
      <c r="K32" s="81">
        <f t="shared" si="15"/>
        <v>31.9</v>
      </c>
      <c r="L32" s="77">
        <f t="shared" ref="L32:L42" si="22">IF(OR(K32="",J32=0),"",K32-J32)</f>
        <v>5.8999999999999986</v>
      </c>
      <c r="M32" s="73">
        <f t="shared" ref="M32:M42" si="23">IF(L32="","",(K32-J32)/ABS(J32))</f>
        <v>0.22692307692307687</v>
      </c>
      <c r="N32" s="78">
        <f t="shared" si="16"/>
        <v>911.61904761904759</v>
      </c>
      <c r="O32" s="81">
        <f t="shared" si="17"/>
        <v>811.55</v>
      </c>
      <c r="P32" s="77">
        <f t="shared" ref="P32:P42" si="24">IF(OR(O32="",N32=0),"",O32-N32)</f>
        <v>-100.06904761904764</v>
      </c>
      <c r="Q32" s="73">
        <f t="shared" ref="Q32:Q42" si="25">IF(P32="","",(O32-N32)/ABS(N32))</f>
        <v>-0.109770685332219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587.4545454545455</v>
      </c>
      <c r="C33" s="82">
        <f t="shared" si="11"/>
        <v>520.15</v>
      </c>
      <c r="D33" s="84">
        <f t="shared" si="18"/>
        <v>-67.304545454545519</v>
      </c>
      <c r="E33" s="74">
        <f t="shared" si="19"/>
        <v>-0.11456979263385959</v>
      </c>
      <c r="F33" s="79">
        <f t="shared" si="12"/>
        <v>361.13636363636363</v>
      </c>
      <c r="G33" s="82">
        <f t="shared" si="13"/>
        <v>316.39999999999998</v>
      </c>
      <c r="H33" s="84">
        <f t="shared" si="20"/>
        <v>-44.736363636363649</v>
      </c>
      <c r="I33" s="74">
        <f t="shared" si="21"/>
        <v>-0.12387665198237889</v>
      </c>
      <c r="J33" s="79">
        <f t="shared" si="14"/>
        <v>64</v>
      </c>
      <c r="K33" s="82">
        <f t="shared" si="15"/>
        <v>21.65</v>
      </c>
      <c r="L33" s="84">
        <f t="shared" si="22"/>
        <v>-42.35</v>
      </c>
      <c r="M33" s="74">
        <f t="shared" si="23"/>
        <v>-0.66171875000000002</v>
      </c>
      <c r="N33" s="79">
        <f t="shared" si="16"/>
        <v>1012.5909090909091</v>
      </c>
      <c r="O33" s="82">
        <f t="shared" si="17"/>
        <v>858.2</v>
      </c>
      <c r="P33" s="84">
        <f t="shared" si="24"/>
        <v>-154.39090909090908</v>
      </c>
      <c r="Q33" s="74">
        <f t="shared" si="25"/>
        <v>-0.1524711585940656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574.52631578947364</v>
      </c>
      <c r="C34" s="81">
        <f t="shared" si="11"/>
        <v>564.38095238095241</v>
      </c>
      <c r="D34" s="77">
        <f t="shared" si="18"/>
        <v>-10.145363408521234</v>
      </c>
      <c r="E34" s="73">
        <f t="shared" si="19"/>
        <v>-1.7658657453453963E-2</v>
      </c>
      <c r="F34" s="78">
        <f t="shared" si="12"/>
        <v>345.15789473684208</v>
      </c>
      <c r="G34" s="81">
        <f t="shared" si="13"/>
        <v>286.76190476190476</v>
      </c>
      <c r="H34" s="77">
        <f t="shared" si="20"/>
        <v>-58.395989974937322</v>
      </c>
      <c r="I34" s="73">
        <f t="shared" si="21"/>
        <v>-0.16918630825309686</v>
      </c>
      <c r="J34" s="78">
        <f t="shared" si="14"/>
        <v>71.368421052631575</v>
      </c>
      <c r="K34" s="81">
        <f t="shared" si="15"/>
        <v>53.428571428571431</v>
      </c>
      <c r="L34" s="77">
        <f t="shared" si="22"/>
        <v>-17.939849624060145</v>
      </c>
      <c r="M34" s="73">
        <f t="shared" si="23"/>
        <v>-0.25136957437842389</v>
      </c>
      <c r="N34" s="78">
        <f t="shared" si="16"/>
        <v>991.0526315789474</v>
      </c>
      <c r="O34" s="81">
        <f t="shared" si="17"/>
        <v>904.57142857142856</v>
      </c>
      <c r="P34" s="77">
        <f t="shared" si="24"/>
        <v>-86.481203007518843</v>
      </c>
      <c r="Q34" s="73">
        <f t="shared" si="25"/>
        <v>-8.7261967984219757E-2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593.95000000000005</v>
      </c>
      <c r="C35" s="81">
        <f t="shared" si="11"/>
        <v>499.3</v>
      </c>
      <c r="D35" s="77">
        <f t="shared" si="18"/>
        <v>-94.650000000000034</v>
      </c>
      <c r="E35" s="73">
        <f t="shared" si="19"/>
        <v>-0.15935684821954715</v>
      </c>
      <c r="F35" s="78">
        <f t="shared" si="12"/>
        <v>367.9</v>
      </c>
      <c r="G35" s="81">
        <f t="shared" si="13"/>
        <v>270.10000000000002</v>
      </c>
      <c r="H35" s="77">
        <f t="shared" si="20"/>
        <v>-97.799999999999955</v>
      </c>
      <c r="I35" s="73">
        <f t="shared" si="21"/>
        <v>-0.26583310682250599</v>
      </c>
      <c r="J35" s="78">
        <f t="shared" si="14"/>
        <v>46.55</v>
      </c>
      <c r="K35" s="81">
        <f t="shared" si="15"/>
        <v>34.6</v>
      </c>
      <c r="L35" s="77">
        <f t="shared" si="22"/>
        <v>-11.949999999999996</v>
      </c>
      <c r="M35" s="73">
        <f t="shared" si="23"/>
        <v>-0.25671321160042959</v>
      </c>
      <c r="N35" s="78">
        <f t="shared" si="16"/>
        <v>1008.4</v>
      </c>
      <c r="O35" s="81">
        <f t="shared" si="17"/>
        <v>804</v>
      </c>
      <c r="P35" s="77">
        <f t="shared" si="24"/>
        <v>-204.39999999999998</v>
      </c>
      <c r="Q35" s="73">
        <f t="shared" si="25"/>
        <v>-0.20269734232447439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563.14285714285711</v>
      </c>
      <c r="C36" s="82">
        <f t="shared" si="11"/>
        <v>530.5</v>
      </c>
      <c r="D36" s="84">
        <f t="shared" si="18"/>
        <v>-32.64285714285711</v>
      </c>
      <c r="E36" s="74">
        <f t="shared" si="19"/>
        <v>-5.7965499746321612E-2</v>
      </c>
      <c r="F36" s="79">
        <f t="shared" si="12"/>
        <v>332.14285714285717</v>
      </c>
      <c r="G36" s="82">
        <f t="shared" si="13"/>
        <v>266.7</v>
      </c>
      <c r="H36" s="84">
        <f t="shared" si="20"/>
        <v>-65.442857142857179</v>
      </c>
      <c r="I36" s="74">
        <f t="shared" si="21"/>
        <v>-0.19703225806451621</v>
      </c>
      <c r="J36" s="79">
        <f t="shared" si="14"/>
        <v>21.38095238095238</v>
      </c>
      <c r="K36" s="82">
        <f t="shared" si="15"/>
        <v>22</v>
      </c>
      <c r="L36" s="84">
        <f t="shared" si="22"/>
        <v>0.6190476190476204</v>
      </c>
      <c r="M36" s="74">
        <f t="shared" si="23"/>
        <v>2.8953229398663762E-2</v>
      </c>
      <c r="N36" s="79">
        <f t="shared" si="16"/>
        <v>916.66666666666663</v>
      </c>
      <c r="O36" s="82">
        <f t="shared" si="17"/>
        <v>819.2</v>
      </c>
      <c r="P36" s="84">
        <f t="shared" si="24"/>
        <v>-97.466666666666583</v>
      </c>
      <c r="Q36" s="74">
        <f t="shared" si="25"/>
        <v>-0.10632727272727265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537.40909090909088</v>
      </c>
      <c r="C37" s="81">
        <f t="shared" si="11"/>
        <v>487.47826086956519</v>
      </c>
      <c r="D37" s="77">
        <f t="shared" si="18"/>
        <v>-49.930830039525688</v>
      </c>
      <c r="E37" s="73">
        <f t="shared" si="19"/>
        <v>-9.2910281727951044E-2</v>
      </c>
      <c r="F37" s="78">
        <f t="shared" si="12"/>
        <v>332.22727272727275</v>
      </c>
      <c r="G37" s="81">
        <f t="shared" si="13"/>
        <v>254.13043478260869</v>
      </c>
      <c r="H37" s="77">
        <f t="shared" si="20"/>
        <v>-78.09683794466406</v>
      </c>
      <c r="I37" s="73">
        <f t="shared" si="21"/>
        <v>-0.23507052056130923</v>
      </c>
      <c r="J37" s="78">
        <f t="shared" si="14"/>
        <v>45.454545454545453</v>
      </c>
      <c r="K37" s="81">
        <f t="shared" si="15"/>
        <v>31</v>
      </c>
      <c r="L37" s="77">
        <f t="shared" si="22"/>
        <v>-14.454545454545453</v>
      </c>
      <c r="M37" s="73">
        <f t="shared" si="23"/>
        <v>-0.318</v>
      </c>
      <c r="N37" s="78">
        <f t="shared" si="16"/>
        <v>915.09090909090912</v>
      </c>
      <c r="O37" s="81">
        <f t="shared" si="17"/>
        <v>772.60869565217388</v>
      </c>
      <c r="P37" s="77">
        <f t="shared" si="24"/>
        <v>-142.48221343873524</v>
      </c>
      <c r="Q37" s="73">
        <f t="shared" si="25"/>
        <v>-0.15570279632685155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506.45454545454544</v>
      </c>
      <c r="C38" s="81">
        <f t="shared" si="11"/>
        <v>466.85714285714283</v>
      </c>
      <c r="D38" s="77">
        <f t="shared" si="18"/>
        <v>-39.597402597402606</v>
      </c>
      <c r="E38" s="73">
        <f t="shared" si="19"/>
        <v>-7.8185501448829423E-2</v>
      </c>
      <c r="F38" s="78">
        <f t="shared" si="12"/>
        <v>278.86363636363637</v>
      </c>
      <c r="G38" s="81">
        <f t="shared" si="13"/>
        <v>207.61904761904762</v>
      </c>
      <c r="H38" s="77">
        <f t="shared" si="20"/>
        <v>-71.244588744588754</v>
      </c>
      <c r="I38" s="73">
        <f t="shared" si="21"/>
        <v>-0.25548181782900614</v>
      </c>
      <c r="J38" s="78">
        <f t="shared" si="14"/>
        <v>42.227272727272727</v>
      </c>
      <c r="K38" s="81">
        <f t="shared" si="15"/>
        <v>37.428571428571431</v>
      </c>
      <c r="L38" s="77">
        <f t="shared" si="22"/>
        <v>-4.798701298701296</v>
      </c>
      <c r="M38" s="73">
        <f t="shared" si="23"/>
        <v>-0.11363985852683371</v>
      </c>
      <c r="N38" s="78">
        <f t="shared" si="16"/>
        <v>827.5454545454545</v>
      </c>
      <c r="O38" s="81">
        <f t="shared" si="17"/>
        <v>711.90476190476193</v>
      </c>
      <c r="P38" s="77">
        <f t="shared" si="24"/>
        <v>-115.64069264069258</v>
      </c>
      <c r="Q38" s="73">
        <f t="shared" si="25"/>
        <v>-0.13973938471356898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543.70000000000005</v>
      </c>
      <c r="C39" s="82">
        <f t="shared" si="11"/>
        <v>518.04761904761904</v>
      </c>
      <c r="D39" s="84">
        <f t="shared" si="18"/>
        <v>-25.652380952381009</v>
      </c>
      <c r="E39" s="74">
        <f t="shared" si="19"/>
        <v>-4.7181131050912282E-2</v>
      </c>
      <c r="F39" s="79">
        <f t="shared" si="12"/>
        <v>331.9</v>
      </c>
      <c r="G39" s="82">
        <f t="shared" si="13"/>
        <v>284.42857142857144</v>
      </c>
      <c r="H39" s="84">
        <f t="shared" si="20"/>
        <v>-47.471428571428532</v>
      </c>
      <c r="I39" s="74">
        <f t="shared" si="21"/>
        <v>-0.14302931175483138</v>
      </c>
      <c r="J39" s="79">
        <f t="shared" si="14"/>
        <v>41.2</v>
      </c>
      <c r="K39" s="82">
        <f t="shared" si="15"/>
        <v>30.571428571428573</v>
      </c>
      <c r="L39" s="84">
        <f t="shared" si="22"/>
        <v>-10.62857142857143</v>
      </c>
      <c r="M39" s="74">
        <f t="shared" si="23"/>
        <v>-0.2579750346740638</v>
      </c>
      <c r="N39" s="79">
        <f t="shared" si="16"/>
        <v>916.8</v>
      </c>
      <c r="O39" s="82">
        <f t="shared" si="17"/>
        <v>833.04761904761904</v>
      </c>
      <c r="P39" s="84">
        <f t="shared" si="24"/>
        <v>-83.752380952380918</v>
      </c>
      <c r="Q39" s="74">
        <f t="shared" si="25"/>
        <v>-9.1352946064987922E-2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8"/>
        <v/>
      </c>
      <c r="E40" s="73" t="str">
        <f t="shared" si="19"/>
        <v/>
      </c>
      <c r="F40" s="78" t="str">
        <f t="shared" si="12"/>
        <v/>
      </c>
      <c r="G40" s="81" t="str">
        <f t="shared" si="13"/>
        <v/>
      </c>
      <c r="H40" s="77" t="str">
        <f t="shared" si="20"/>
        <v/>
      </c>
      <c r="I40" s="73" t="str">
        <f t="shared" si="21"/>
        <v/>
      </c>
      <c r="J40" s="78" t="str">
        <f t="shared" si="14"/>
        <v/>
      </c>
      <c r="K40" s="81" t="str">
        <f t="shared" si="15"/>
        <v/>
      </c>
      <c r="L40" s="77" t="str">
        <f t="shared" si="22"/>
        <v/>
      </c>
      <c r="M40" s="73" t="str">
        <f t="shared" si="23"/>
        <v/>
      </c>
      <c r="N40" s="78" t="str">
        <f t="shared" si="16"/>
        <v/>
      </c>
      <c r="O40" s="81" t="str">
        <f t="shared" si="17"/>
        <v/>
      </c>
      <c r="P40" s="77" t="str">
        <f t="shared" si="24"/>
        <v/>
      </c>
      <c r="Q40" s="73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8"/>
        <v/>
      </c>
      <c r="E41" s="73" t="str">
        <f t="shared" si="19"/>
        <v/>
      </c>
      <c r="F41" s="78" t="str">
        <f t="shared" si="12"/>
        <v/>
      </c>
      <c r="G41" s="81" t="str">
        <f t="shared" si="13"/>
        <v/>
      </c>
      <c r="H41" s="77" t="str">
        <f t="shared" si="20"/>
        <v/>
      </c>
      <c r="I41" s="73" t="str">
        <f t="shared" si="21"/>
        <v/>
      </c>
      <c r="J41" s="78" t="str">
        <f t="shared" si="14"/>
        <v/>
      </c>
      <c r="K41" s="81" t="str">
        <f t="shared" si="15"/>
        <v/>
      </c>
      <c r="L41" s="77" t="str">
        <f t="shared" si="22"/>
        <v/>
      </c>
      <c r="M41" s="73" t="str">
        <f t="shared" si="23"/>
        <v/>
      </c>
      <c r="N41" s="78" t="str">
        <f t="shared" si="16"/>
        <v/>
      </c>
      <c r="O41" s="81" t="str">
        <f t="shared" si="17"/>
        <v/>
      </c>
      <c r="P41" s="77" t="str">
        <f t="shared" si="24"/>
        <v/>
      </c>
      <c r="Q41" s="73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8"/>
        <v/>
      </c>
      <c r="E42" s="73" t="str">
        <f t="shared" si="19"/>
        <v/>
      </c>
      <c r="F42" s="78" t="str">
        <f t="shared" si="12"/>
        <v/>
      </c>
      <c r="G42" s="81" t="str">
        <f t="shared" si="13"/>
        <v/>
      </c>
      <c r="H42" s="77" t="str">
        <f t="shared" si="20"/>
        <v/>
      </c>
      <c r="I42" s="73" t="str">
        <f t="shared" si="21"/>
        <v/>
      </c>
      <c r="J42" s="78" t="str">
        <f t="shared" si="14"/>
        <v/>
      </c>
      <c r="K42" s="81" t="str">
        <f t="shared" si="15"/>
        <v/>
      </c>
      <c r="L42" s="77" t="str">
        <f t="shared" si="22"/>
        <v/>
      </c>
      <c r="M42" s="73" t="str">
        <f t="shared" si="23"/>
        <v/>
      </c>
      <c r="N42" s="78" t="str">
        <f t="shared" si="16"/>
        <v/>
      </c>
      <c r="O42" s="81" t="str">
        <f t="shared" si="17"/>
        <v/>
      </c>
      <c r="P42" s="77" t="str">
        <f t="shared" si="24"/>
        <v/>
      </c>
      <c r="Q42" s="73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IF(B23=0,"",SUM(B31:B42)/B44)</f>
        <v>542.38827751196163</v>
      </c>
      <c r="C43" s="83">
        <f>IF(OR(C23=0,C23=""),"",SUM(C31:C42)/C44)</f>
        <v>503.76064370412195</v>
      </c>
      <c r="D43" s="75">
        <f>IF(B23=0,"",AVERAGE(D31:D42))</f>
        <v>-38.627633807839771</v>
      </c>
      <c r="E43" s="65">
        <f>IF(B23=0,"",AVERAGE(E31:E42))</f>
        <v>-6.8875063655020122E-2</v>
      </c>
      <c r="F43" s="80">
        <f>IF(F23=0,"",SUM(F31:F42)/F44)</f>
        <v>336.05039619250147</v>
      </c>
      <c r="G43" s="83">
        <f>IF(OR(G23=0,G23=""),"",SUM(G31:G42)/G44)</f>
        <v>274.88120752033797</v>
      </c>
      <c r="H43" s="75">
        <f>IF(F23=0,"",AVERAGE(H31:H42))</f>
        <v>-61.1691886721635</v>
      </c>
      <c r="I43" s="65">
        <f>IF(F23=0,"",AVERAGE(I31:I42))</f>
        <v>-0.18170187062987897</v>
      </c>
      <c r="J43" s="80">
        <f>IF(J23=0,"",SUM(J31:J42)/J44)</f>
        <v>45.186799068378008</v>
      </c>
      <c r="K43" s="83">
        <f>IF(OR(K23=0,K23=""),"",SUM(K31:K42)/K44)</f>
        <v>36.852164502164506</v>
      </c>
      <c r="L43" s="75">
        <f>IF(J23=0,"",AVERAGE(L31:L42))</f>
        <v>-8.3346345662135128</v>
      </c>
      <c r="M43" s="65">
        <f>IF(J23=0,"",AVERAGE(M31:M42))</f>
        <v>-0.13099836624903644</v>
      </c>
      <c r="N43" s="80">
        <f>IF(N23=0,"",SUM(N31:N42)/N44)</f>
        <v>923.62547277284125</v>
      </c>
      <c r="O43" s="83">
        <f>IF(OR(O23=0,O23=""),"",SUM(O31:O42)/O44)</f>
        <v>815.4940157266243</v>
      </c>
      <c r="P43" s="75">
        <f>IF(N23=0,"",AVERAGE(P31:P42))</f>
        <v>-108.13145704621677</v>
      </c>
      <c r="Q43" s="65">
        <f>IF(N23=0,"",AVERAGE(Q31:Q42))</f>
        <v>-0.11457511551872329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>
        <f>COUNTIF(B31:B42,"&gt;0")</f>
        <v>9</v>
      </c>
      <c r="C44" s="61">
        <f>COUNTIF(C31:C42,"&gt;0")</f>
        <v>9</v>
      </c>
      <c r="D44" s="62"/>
      <c r="E44" s="63"/>
      <c r="F44" s="61">
        <f>COUNTIF(F31:F42,"&gt;0")</f>
        <v>9</v>
      </c>
      <c r="G44" s="61">
        <f>COUNTIF(G31:G42,"&gt;0")</f>
        <v>9</v>
      </c>
      <c r="H44" s="62"/>
      <c r="I44" s="63"/>
      <c r="J44" s="61">
        <f>COUNTIF(J31:J42,"&gt;0")</f>
        <v>9</v>
      </c>
      <c r="K44" s="61">
        <f>COUNTIF(K31:K42,"&gt;0")</f>
        <v>9</v>
      </c>
      <c r="L44" s="62"/>
      <c r="M44" s="63"/>
      <c r="N44" s="61">
        <f>COUNTIF(N31:N42,"&gt;0")</f>
        <v>9</v>
      </c>
      <c r="O44" s="61">
        <f>COUNTIF(O31:O42,"&gt;0")</f>
        <v>9</v>
      </c>
      <c r="P44" s="62"/>
      <c r="Q44" s="63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D29:E29"/>
    <mergeCell ref="H29:I29"/>
    <mergeCell ref="L29:M29"/>
    <mergeCell ref="P29:Q29"/>
    <mergeCell ref="B2:E2"/>
    <mergeCell ref="D3:E3"/>
    <mergeCell ref="B6:E7"/>
    <mergeCell ref="D9:E9"/>
    <mergeCell ref="B3:C3"/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</mergeCells>
  <phoneticPr fontId="0" type="noConversion"/>
  <conditionalFormatting sqref="B13:B16 B18:B21 F13:F16 F18:F21 J13:J16 J18:J21 N13:N16 N18:N21">
    <cfRule type="expression" dxfId="31" priority="3" stopIfTrue="1">
      <formula>C13=""</formula>
    </cfRule>
  </conditionalFormatting>
  <conditionalFormatting sqref="B17 N22 B22 F17 F12 F22 J17 J12 J22 N17 N12">
    <cfRule type="expression" dxfId="30" priority="4" stopIfTrue="1">
      <formula>C12=""</formula>
    </cfRule>
  </conditionalFormatting>
  <conditionalFormatting sqref="R43:S43 S31:S42">
    <cfRule type="expression" dxfId="29" priority="5" stopIfTrue="1">
      <formula>R31&lt;$R31</formula>
    </cfRule>
    <cfRule type="expression" dxfId="28" priority="6" stopIfTrue="1">
      <formula>R31&gt;$R31</formula>
    </cfRule>
  </conditionalFormatting>
  <conditionalFormatting sqref="B12">
    <cfRule type="expression" dxfId="27" priority="7" stopIfTrue="1">
      <formula>C12=""</formula>
    </cfRule>
  </conditionalFormatting>
  <conditionalFormatting sqref="S31:S42">
    <cfRule type="expression" dxfId="26" priority="1" stopIfTrue="1">
      <formula>S31&lt;$R31</formula>
    </cfRule>
    <cfRule type="expression" dxfId="25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100" t="s">
        <v>18</v>
      </c>
      <c r="B2" s="144" t="s">
        <v>47</v>
      </c>
      <c r="C2" s="144"/>
      <c r="D2" s="144"/>
      <c r="E2" s="144"/>
      <c r="Q2" s="95"/>
    </row>
    <row r="3" spans="1:17" ht="13.5" customHeight="1">
      <c r="A3" s="1"/>
      <c r="B3" s="140" t="s">
        <v>20</v>
      </c>
      <c r="C3" s="140"/>
      <c r="D3" s="145" t="s">
        <v>25</v>
      </c>
      <c r="E3" s="145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/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v>6828</v>
      </c>
      <c r="C11" s="47">
        <v>7797</v>
      </c>
      <c r="D11" s="21">
        <f>IF(OR(C11="",B11=0),"",C11-B11)</f>
        <v>969</v>
      </c>
      <c r="E11" s="71">
        <f t="shared" ref="E11:E22" si="0">IF(D11="","",D11/B11)</f>
        <v>0.14191564147627417</v>
      </c>
      <c r="F11" s="38">
        <v>5421</v>
      </c>
      <c r="G11" s="47">
        <v>6078</v>
      </c>
      <c r="H11" s="21">
        <f>IF(OR(G11="",F11=0),"",G11-F11)</f>
        <v>657</v>
      </c>
      <c r="I11" s="71">
        <f t="shared" ref="I11:I22" si="1">IF(H11="","",H11/F11)</f>
        <v>0.12119535141117875</v>
      </c>
      <c r="J11" s="38">
        <v>6626</v>
      </c>
      <c r="K11" s="47">
        <v>7106</v>
      </c>
      <c r="L11" s="21">
        <f>IF(OR(K11="",J11=0),"",K11-J11)</f>
        <v>480</v>
      </c>
      <c r="M11" s="71">
        <f t="shared" ref="M11:M22" si="2">IF(L11="","",L11/J11)</f>
        <v>7.24418955629339E-2</v>
      </c>
      <c r="N11" s="38">
        <f t="shared" ref="N11:N22" si="3">SUM(B11,F11,J11)</f>
        <v>18875</v>
      </c>
      <c r="O11" s="34">
        <f t="shared" ref="O11:O22" si="4">IF(C11="","",SUM(C11,G11,K11))</f>
        <v>20981</v>
      </c>
      <c r="P11" s="21">
        <f>IF(OR(O11="",N11=0),"",O11-N11)</f>
        <v>2106</v>
      </c>
      <c r="Q11" s="71">
        <f t="shared" ref="Q11:Q22" si="5">IF(P11="","",P11/N11)</f>
        <v>0.11157615894039735</v>
      </c>
    </row>
    <row r="12" spans="1:17" ht="11.25" customHeight="1">
      <c r="A12" s="20" t="s">
        <v>7</v>
      </c>
      <c r="B12" s="38">
        <v>7393</v>
      </c>
      <c r="C12" s="47">
        <v>7587</v>
      </c>
      <c r="D12" s="21">
        <f t="shared" ref="D12:D22" si="6">IF(OR(C12="",B12=0),"",C12-B12)</f>
        <v>194</v>
      </c>
      <c r="E12" s="71">
        <f t="shared" si="0"/>
        <v>2.6241038820505883E-2</v>
      </c>
      <c r="F12" s="38">
        <v>6009</v>
      </c>
      <c r="G12" s="47">
        <v>5846</v>
      </c>
      <c r="H12" s="21">
        <f t="shared" ref="H12:H22" si="7">IF(OR(G12="",F12=0),"",G12-F12)</f>
        <v>-163</v>
      </c>
      <c r="I12" s="71">
        <f t="shared" si="1"/>
        <v>-2.7125977700116492E-2</v>
      </c>
      <c r="J12" s="38">
        <v>7115</v>
      </c>
      <c r="K12" s="47">
        <v>7402</v>
      </c>
      <c r="L12" s="21">
        <f t="shared" ref="L12:L22" si="8">IF(OR(K12="",J12=0),"",K12-J12)</f>
        <v>287</v>
      </c>
      <c r="M12" s="71">
        <f t="shared" si="2"/>
        <v>4.0337315530569219E-2</v>
      </c>
      <c r="N12" s="38">
        <f t="shared" si="3"/>
        <v>20517</v>
      </c>
      <c r="O12" s="34">
        <f t="shared" si="4"/>
        <v>20835</v>
      </c>
      <c r="P12" s="21">
        <f t="shared" ref="P12:P22" si="9">IF(OR(O12="",N12=0),"",O12-N12)</f>
        <v>318</v>
      </c>
      <c r="Q12" s="71">
        <f t="shared" si="5"/>
        <v>1.5499342009065652E-2</v>
      </c>
    </row>
    <row r="13" spans="1:17" ht="11.25" customHeight="1">
      <c r="A13" s="27" t="s">
        <v>8</v>
      </c>
      <c r="B13" s="40">
        <v>8374</v>
      </c>
      <c r="C13" s="48">
        <v>7867</v>
      </c>
      <c r="D13" s="22">
        <f t="shared" si="6"/>
        <v>-507</v>
      </c>
      <c r="E13" s="72">
        <f t="shared" si="0"/>
        <v>-6.0544542631956057E-2</v>
      </c>
      <c r="F13" s="40">
        <v>6872</v>
      </c>
      <c r="G13" s="48">
        <v>6392</v>
      </c>
      <c r="H13" s="22">
        <f t="shared" si="7"/>
        <v>-480</v>
      </c>
      <c r="I13" s="72">
        <f t="shared" si="1"/>
        <v>-6.9848661233993012E-2</v>
      </c>
      <c r="J13" s="40">
        <v>9762</v>
      </c>
      <c r="K13" s="48">
        <v>8582</v>
      </c>
      <c r="L13" s="22">
        <f t="shared" si="8"/>
        <v>-1180</v>
      </c>
      <c r="M13" s="72">
        <f t="shared" si="2"/>
        <v>-0.12087686949395615</v>
      </c>
      <c r="N13" s="40">
        <f t="shared" si="3"/>
        <v>25008</v>
      </c>
      <c r="O13" s="35">
        <f t="shared" si="4"/>
        <v>22841</v>
      </c>
      <c r="P13" s="22">
        <f t="shared" si="9"/>
        <v>-2167</v>
      </c>
      <c r="Q13" s="72">
        <f t="shared" si="5"/>
        <v>-8.6652271273192583E-2</v>
      </c>
    </row>
    <row r="14" spans="1:17" ht="11.25" customHeight="1">
      <c r="A14" s="20" t="s">
        <v>9</v>
      </c>
      <c r="B14" s="38">
        <v>7291</v>
      </c>
      <c r="C14" s="47">
        <v>8576</v>
      </c>
      <c r="D14" s="21">
        <f t="shared" si="6"/>
        <v>1285</v>
      </c>
      <c r="E14" s="71">
        <f t="shared" si="0"/>
        <v>0.17624468522836373</v>
      </c>
      <c r="F14" s="38">
        <v>5584</v>
      </c>
      <c r="G14" s="47">
        <v>6321</v>
      </c>
      <c r="H14" s="21">
        <f t="shared" si="7"/>
        <v>737</v>
      </c>
      <c r="I14" s="71">
        <f t="shared" si="1"/>
        <v>0.13198424068767908</v>
      </c>
      <c r="J14" s="38">
        <v>9065</v>
      </c>
      <c r="K14" s="47">
        <v>9803</v>
      </c>
      <c r="L14" s="21">
        <f t="shared" si="8"/>
        <v>738</v>
      </c>
      <c r="M14" s="71">
        <f t="shared" si="2"/>
        <v>8.1412024269167133E-2</v>
      </c>
      <c r="N14" s="38">
        <f t="shared" si="3"/>
        <v>21940</v>
      </c>
      <c r="O14" s="34">
        <f t="shared" si="4"/>
        <v>24700</v>
      </c>
      <c r="P14" s="21">
        <f t="shared" si="9"/>
        <v>2760</v>
      </c>
      <c r="Q14" s="71">
        <f t="shared" si="5"/>
        <v>0.12579762989972654</v>
      </c>
    </row>
    <row r="15" spans="1:17" ht="11.25" customHeight="1">
      <c r="A15" s="20" t="s">
        <v>10</v>
      </c>
      <c r="B15" s="38">
        <v>7982</v>
      </c>
      <c r="C15" s="47">
        <v>7704</v>
      </c>
      <c r="D15" s="21">
        <f t="shared" si="6"/>
        <v>-278</v>
      </c>
      <c r="E15" s="71">
        <f t="shared" si="0"/>
        <v>-3.4828363818591834E-2</v>
      </c>
      <c r="F15" s="38">
        <v>6428</v>
      </c>
      <c r="G15" s="47">
        <v>5939</v>
      </c>
      <c r="H15" s="21">
        <f t="shared" si="7"/>
        <v>-489</v>
      </c>
      <c r="I15" s="71">
        <f t="shared" si="1"/>
        <v>-7.6073428749222155E-2</v>
      </c>
      <c r="J15" s="38">
        <v>9514</v>
      </c>
      <c r="K15" s="47">
        <v>8701</v>
      </c>
      <c r="L15" s="21">
        <f t="shared" si="8"/>
        <v>-813</v>
      </c>
      <c r="M15" s="71">
        <f t="shared" si="2"/>
        <v>-8.5453016607105317E-2</v>
      </c>
      <c r="N15" s="38">
        <f t="shared" si="3"/>
        <v>23924</v>
      </c>
      <c r="O15" s="34">
        <f t="shared" si="4"/>
        <v>22344</v>
      </c>
      <c r="P15" s="21">
        <f t="shared" si="9"/>
        <v>-1580</v>
      </c>
      <c r="Q15" s="71">
        <f t="shared" si="5"/>
        <v>-6.6042467814746694E-2</v>
      </c>
    </row>
    <row r="16" spans="1:17" ht="11.25" customHeight="1">
      <c r="A16" s="27" t="s">
        <v>11</v>
      </c>
      <c r="B16" s="40">
        <v>8204</v>
      </c>
      <c r="C16" s="48">
        <v>8353</v>
      </c>
      <c r="D16" s="22">
        <f t="shared" si="6"/>
        <v>149</v>
      </c>
      <c r="E16" s="72">
        <f t="shared" si="0"/>
        <v>1.8161872257435398E-2</v>
      </c>
      <c r="F16" s="40">
        <v>6363</v>
      </c>
      <c r="G16" s="48">
        <v>5677</v>
      </c>
      <c r="H16" s="22">
        <f t="shared" si="7"/>
        <v>-686</v>
      </c>
      <c r="I16" s="72">
        <f t="shared" si="1"/>
        <v>-0.10781078107810781</v>
      </c>
      <c r="J16" s="40">
        <v>9071</v>
      </c>
      <c r="K16" s="48">
        <v>8761</v>
      </c>
      <c r="L16" s="22">
        <f t="shared" si="8"/>
        <v>-310</v>
      </c>
      <c r="M16" s="72">
        <f t="shared" si="2"/>
        <v>-3.4174842905964065E-2</v>
      </c>
      <c r="N16" s="40">
        <f t="shared" si="3"/>
        <v>23638</v>
      </c>
      <c r="O16" s="35">
        <f t="shared" si="4"/>
        <v>22791</v>
      </c>
      <c r="P16" s="22">
        <f t="shared" si="9"/>
        <v>-847</v>
      </c>
      <c r="Q16" s="72">
        <f t="shared" si="5"/>
        <v>-3.5832134698367039E-2</v>
      </c>
    </row>
    <row r="17" spans="1:21" ht="11.25" customHeight="1">
      <c r="A17" s="20" t="s">
        <v>12</v>
      </c>
      <c r="B17" s="38">
        <v>8395</v>
      </c>
      <c r="C17" s="47">
        <v>8810</v>
      </c>
      <c r="D17" s="21">
        <f t="shared" si="6"/>
        <v>415</v>
      </c>
      <c r="E17" s="71">
        <f t="shared" si="0"/>
        <v>4.9434187016081002E-2</v>
      </c>
      <c r="F17" s="38">
        <v>6413</v>
      </c>
      <c r="G17" s="47">
        <v>6613</v>
      </c>
      <c r="H17" s="21">
        <f t="shared" si="7"/>
        <v>200</v>
      </c>
      <c r="I17" s="71">
        <f t="shared" si="1"/>
        <v>3.1186652112895681E-2</v>
      </c>
      <c r="J17" s="38">
        <v>9190</v>
      </c>
      <c r="K17" s="47">
        <v>8859</v>
      </c>
      <c r="L17" s="21">
        <f t="shared" si="8"/>
        <v>-331</v>
      </c>
      <c r="M17" s="71">
        <f t="shared" si="2"/>
        <v>-3.6017410228509246E-2</v>
      </c>
      <c r="N17" s="38">
        <f t="shared" si="3"/>
        <v>23998</v>
      </c>
      <c r="O17" s="34">
        <f t="shared" si="4"/>
        <v>24282</v>
      </c>
      <c r="P17" s="21">
        <f t="shared" si="9"/>
        <v>284</v>
      </c>
      <c r="Q17" s="71">
        <f t="shared" si="5"/>
        <v>1.1834319526627219E-2</v>
      </c>
    </row>
    <row r="18" spans="1:21" ht="11.25" customHeight="1">
      <c r="A18" s="20" t="s">
        <v>13</v>
      </c>
      <c r="B18" s="38">
        <v>8014</v>
      </c>
      <c r="C18" s="47">
        <v>7406</v>
      </c>
      <c r="D18" s="21">
        <f t="shared" si="6"/>
        <v>-608</v>
      </c>
      <c r="E18" s="71">
        <f t="shared" si="0"/>
        <v>-7.5867232343399052E-2</v>
      </c>
      <c r="F18" s="38">
        <v>5214</v>
      </c>
      <c r="G18" s="47">
        <v>4895</v>
      </c>
      <c r="H18" s="21">
        <f t="shared" si="7"/>
        <v>-319</v>
      </c>
      <c r="I18" s="71">
        <f t="shared" si="1"/>
        <v>-6.118143459915612E-2</v>
      </c>
      <c r="J18" s="38">
        <v>8782</v>
      </c>
      <c r="K18" s="47">
        <v>7911</v>
      </c>
      <c r="L18" s="21">
        <f t="shared" si="8"/>
        <v>-871</v>
      </c>
      <c r="M18" s="71">
        <f t="shared" si="2"/>
        <v>-9.9180141197904803E-2</v>
      </c>
      <c r="N18" s="38">
        <f t="shared" si="3"/>
        <v>22010</v>
      </c>
      <c r="O18" s="34">
        <f t="shared" si="4"/>
        <v>20212</v>
      </c>
      <c r="P18" s="21">
        <f t="shared" si="9"/>
        <v>-1798</v>
      </c>
      <c r="Q18" s="71">
        <f t="shared" si="5"/>
        <v>-8.1690140845070425E-2</v>
      </c>
    </row>
    <row r="19" spans="1:21" ht="11.25" customHeight="1">
      <c r="A19" s="27" t="s">
        <v>14</v>
      </c>
      <c r="B19" s="40">
        <v>7860</v>
      </c>
      <c r="C19" s="48">
        <v>8390</v>
      </c>
      <c r="D19" s="22">
        <f t="shared" si="6"/>
        <v>530</v>
      </c>
      <c r="E19" s="72">
        <f t="shared" si="0"/>
        <v>6.7430025445292627E-2</v>
      </c>
      <c r="F19" s="40">
        <v>6033</v>
      </c>
      <c r="G19" s="48">
        <v>5829</v>
      </c>
      <c r="H19" s="22">
        <f t="shared" si="7"/>
        <v>-204</v>
      </c>
      <c r="I19" s="72">
        <f t="shared" si="1"/>
        <v>-3.3814022874191947E-2</v>
      </c>
      <c r="J19" s="40">
        <v>8629</v>
      </c>
      <c r="K19" s="48">
        <v>8731</v>
      </c>
      <c r="L19" s="22">
        <f t="shared" si="8"/>
        <v>102</v>
      </c>
      <c r="M19" s="72">
        <f t="shared" si="2"/>
        <v>1.1820604936840885E-2</v>
      </c>
      <c r="N19" s="40">
        <f t="shared" si="3"/>
        <v>22522</v>
      </c>
      <c r="O19" s="35">
        <f t="shared" si="4"/>
        <v>22950</v>
      </c>
      <c r="P19" s="22">
        <f t="shared" si="9"/>
        <v>428</v>
      </c>
      <c r="Q19" s="72">
        <f t="shared" si="5"/>
        <v>1.9003640884468518E-2</v>
      </c>
    </row>
    <row r="20" spans="1:21" ht="11.25" customHeight="1">
      <c r="A20" s="20" t="s">
        <v>15</v>
      </c>
      <c r="B20" s="38">
        <v>8936</v>
      </c>
      <c r="C20" s="47"/>
      <c r="D20" s="21" t="str">
        <f t="shared" si="6"/>
        <v/>
      </c>
      <c r="E20" s="71" t="str">
        <f t="shared" si="0"/>
        <v/>
      </c>
      <c r="F20" s="38">
        <v>6517</v>
      </c>
      <c r="G20" s="47"/>
      <c r="H20" s="21" t="str">
        <f t="shared" si="7"/>
        <v/>
      </c>
      <c r="I20" s="71" t="str">
        <f t="shared" si="1"/>
        <v/>
      </c>
      <c r="J20" s="38">
        <v>10120</v>
      </c>
      <c r="K20" s="47"/>
      <c r="L20" s="21" t="str">
        <f t="shared" si="8"/>
        <v/>
      </c>
      <c r="M20" s="71" t="str">
        <f t="shared" si="2"/>
        <v/>
      </c>
      <c r="N20" s="38">
        <f t="shared" si="3"/>
        <v>25573</v>
      </c>
      <c r="O20" s="34" t="str">
        <f t="shared" si="4"/>
        <v/>
      </c>
      <c r="P20" s="21" t="str">
        <f t="shared" si="9"/>
        <v/>
      </c>
      <c r="Q20" s="71" t="str">
        <f t="shared" si="5"/>
        <v/>
      </c>
    </row>
    <row r="21" spans="1:21" ht="11.25" customHeight="1">
      <c r="A21" s="20" t="s">
        <v>16</v>
      </c>
      <c r="B21" s="38">
        <v>8567</v>
      </c>
      <c r="C21" s="47"/>
      <c r="D21" s="21" t="str">
        <f t="shared" si="6"/>
        <v/>
      </c>
      <c r="E21" s="71" t="str">
        <f t="shared" si="0"/>
        <v/>
      </c>
      <c r="F21" s="38">
        <v>6399</v>
      </c>
      <c r="G21" s="47"/>
      <c r="H21" s="21" t="str">
        <f t="shared" si="7"/>
        <v/>
      </c>
      <c r="I21" s="71" t="str">
        <f t="shared" si="1"/>
        <v/>
      </c>
      <c r="J21" s="38">
        <v>8449</v>
      </c>
      <c r="K21" s="47"/>
      <c r="L21" s="21" t="str">
        <f t="shared" si="8"/>
        <v/>
      </c>
      <c r="M21" s="71" t="str">
        <f t="shared" si="2"/>
        <v/>
      </c>
      <c r="N21" s="38">
        <f t="shared" si="3"/>
        <v>23415</v>
      </c>
      <c r="O21" s="34" t="str">
        <f t="shared" si="4"/>
        <v/>
      </c>
      <c r="P21" s="21" t="str">
        <f t="shared" si="9"/>
        <v/>
      </c>
      <c r="Q21" s="71" t="str">
        <f t="shared" si="5"/>
        <v/>
      </c>
    </row>
    <row r="22" spans="1:21" ht="11.25" customHeight="1" thickBot="1">
      <c r="A22" s="23" t="s">
        <v>17</v>
      </c>
      <c r="B22" s="39">
        <v>6156</v>
      </c>
      <c r="C22" s="49"/>
      <c r="D22" s="21" t="str">
        <f t="shared" si="6"/>
        <v/>
      </c>
      <c r="E22" s="57" t="str">
        <f t="shared" si="0"/>
        <v/>
      </c>
      <c r="F22" s="39">
        <v>4772</v>
      </c>
      <c r="G22" s="49"/>
      <c r="H22" s="21" t="str">
        <f t="shared" si="7"/>
        <v/>
      </c>
      <c r="I22" s="57" t="str">
        <f t="shared" si="1"/>
        <v/>
      </c>
      <c r="J22" s="39">
        <v>6348</v>
      </c>
      <c r="K22" s="49"/>
      <c r="L22" s="21" t="str">
        <f t="shared" si="8"/>
        <v/>
      </c>
      <c r="M22" s="57" t="str">
        <f t="shared" si="2"/>
        <v/>
      </c>
      <c r="N22" s="39">
        <f t="shared" si="3"/>
        <v>17276</v>
      </c>
      <c r="O22" s="36" t="str">
        <f t="shared" si="4"/>
        <v/>
      </c>
      <c r="P22" s="21" t="str">
        <f t="shared" si="9"/>
        <v/>
      </c>
      <c r="Q22" s="57" t="str">
        <f t="shared" si="5"/>
        <v/>
      </c>
    </row>
    <row r="23" spans="1:21" ht="11.25" customHeight="1" thickBot="1">
      <c r="A23" s="44" t="s">
        <v>3</v>
      </c>
      <c r="B23" s="41">
        <f>IF(C17="",B24,B25)</f>
        <v>70341</v>
      </c>
      <c r="C23" s="42">
        <f>IF(C11="","",SUM(C11:C22))</f>
        <v>72490</v>
      </c>
      <c r="D23" s="43">
        <f>IF(C11="","",SUM(D11:D22))</f>
        <v>2149</v>
      </c>
      <c r="E23" s="64">
        <f>IF(OR(D23="",D23=0),"",D23/B23)</f>
        <v>3.0551172147111925E-2</v>
      </c>
      <c r="F23" s="41">
        <f>IF(G17="",F24,F25)</f>
        <v>54337</v>
      </c>
      <c r="G23" s="42">
        <f>IF(G11="","",SUM(G11:G22))</f>
        <v>53590</v>
      </c>
      <c r="H23" s="43">
        <f>IF(G11="","",SUM(H11:H22))</f>
        <v>-747</v>
      </c>
      <c r="I23" s="64">
        <f>IF(OR(H23="",H23=0),"",H23/F23)</f>
        <v>-1.3747538509671127E-2</v>
      </c>
      <c r="J23" s="41">
        <f>IF(K17="",J24,J25)</f>
        <v>77754</v>
      </c>
      <c r="K23" s="42">
        <f>IF(K11="","",SUM(K11:K22))</f>
        <v>75856</v>
      </c>
      <c r="L23" s="43">
        <f>IF(K11="","",SUM(L11:L22))</f>
        <v>-1898</v>
      </c>
      <c r="M23" s="64">
        <f>IF(OR(L23="",L23=0),"",L23/J23)</f>
        <v>-2.441031972631633E-2</v>
      </c>
      <c r="N23" s="41">
        <f>IF(O17="",N24,N25)</f>
        <v>202432</v>
      </c>
      <c r="O23" s="42">
        <f>IF(O11="","",SUM(O11:O22))</f>
        <v>201936</v>
      </c>
      <c r="P23" s="43">
        <f>IF(O11="","",SUM(P11:P22))</f>
        <v>-496</v>
      </c>
      <c r="Q23" s="64">
        <f>IF(OR(P23="",P23=0),"",P23/N23)</f>
        <v>-2.4502055011065443E-3</v>
      </c>
    </row>
    <row r="24" spans="1:21" ht="11.25" customHeight="1">
      <c r="A24" s="88" t="s">
        <v>28</v>
      </c>
      <c r="B24" s="93">
        <f>IF(C16&lt;&gt;"",SUM(B11:B16),IF(C15&lt;&gt;"",SUM(B11:B15),IF(C14&lt;&gt;"",SUM(B11:B14),IF(C13&lt;&gt;"",SUM(B11:B13),IF(C12&lt;&gt;"",SUM(B11:B12),B11)))))</f>
        <v>46072</v>
      </c>
      <c r="C24" s="59">
        <f>COUNTIF(C11:C22,"&gt;0")</f>
        <v>9</v>
      </c>
      <c r="D24" s="59"/>
      <c r="E24" s="60"/>
      <c r="F24" s="93">
        <f>IF(G16&lt;&gt;"",SUM(F11:F16),IF(G15&lt;&gt;"",SUM(F11:F15),IF(G14&lt;&gt;"",SUM(F11:F14),IF(G13&lt;&gt;"",SUM(F11:F13),IF(G12&lt;&gt;"",SUM(F11:F12),F11)))))</f>
        <v>36677</v>
      </c>
      <c r="G24" s="59">
        <f>COUNTIF(G11:G22,"&gt;0")</f>
        <v>9</v>
      </c>
      <c r="H24" s="59"/>
      <c r="I24" s="60"/>
      <c r="J24" s="93">
        <f>IF(K16&lt;&gt;"",SUM(J11:J16),IF(K15&lt;&gt;"",SUM(J11:J15),IF(K14&lt;&gt;"",SUM(J11:J14),IF(K13&lt;&gt;"",SUM(J11:J13),IF(K12&lt;&gt;"",SUM(J11:J12),J11)))))</f>
        <v>51153</v>
      </c>
      <c r="K24" s="59">
        <f>COUNTIF(K11:K22,"&gt;0")</f>
        <v>9</v>
      </c>
      <c r="L24" s="59"/>
      <c r="M24" s="60"/>
      <c r="N24" s="93">
        <f>IF(O16&lt;&gt;"",SUM(N11:N16),IF(O15&lt;&gt;"",SUM(N11:N15),IF(O14&lt;&gt;"",SUM(N11:N14),IF(O13&lt;&gt;"",SUM(N11:N13),IF(O12&lt;&gt;"",SUM(N11:N12),N11)))))</f>
        <v>133902</v>
      </c>
      <c r="O24" s="59">
        <f>COUNTIF(O11:O22,"&gt;0")</f>
        <v>9</v>
      </c>
      <c r="P24" s="59"/>
      <c r="Q24" s="60"/>
    </row>
    <row r="25" spans="1:21" ht="11.25" customHeight="1">
      <c r="B25" s="91">
        <f>IF(C22&lt;&gt;"",SUM(B11:B22),IF(C21&lt;&gt;"",SUM(B11:B21),IF(C20&lt;&gt;"",SUM(B11:B20),IF(C19&lt;&gt;"",SUM(B11:B19),IF(C18&lt;&gt;"",SUM(B11:B18),SUM(B11:B17))))))</f>
        <v>70341</v>
      </c>
      <c r="F25" s="91">
        <f>IF(G22&lt;&gt;"",SUM(F11:F22),IF(G21&lt;&gt;"",SUM(F11:F21),IF(G20&lt;&gt;"",SUM(F11:F20),IF(G19&lt;&gt;"",SUM(F11:F19),IF(G18&lt;&gt;"",SUM(F11:F18),SUM(F11:F17))))))</f>
        <v>54337</v>
      </c>
      <c r="J25" s="91">
        <f>IF(K22&lt;&gt;"",SUM(J11:J22),IF(K21&lt;&gt;"",SUM(J11:J21),IF(K20&lt;&gt;"",SUM(J11:J20),IF(K19&lt;&gt;"",SUM(J11:J19),IF(K18&lt;&gt;"",SUM(J11:J18),SUM(J11:J17))))))</f>
        <v>77754</v>
      </c>
      <c r="N25" s="91">
        <f>IF(O22&lt;&gt;"",SUM(N11:N22),IF(O21&lt;&gt;"",SUM(N11:N21),IF(O20&lt;&gt;"",SUM(N11:N20),IF(O19&lt;&gt;"",SUM(N11:N19),IF(O18&lt;&gt;"",SUM(N11:N18),SUM(N11:N17))))))</f>
        <v>202432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 t="shared" ref="B31:B42" si="10">IF(C11="","",B11/$R31)</f>
        <v>310.36363636363637</v>
      </c>
      <c r="C31" s="81">
        <f t="shared" ref="C31:C42" si="11">IF(C11="","",C11/$S31)</f>
        <v>354.40909090909093</v>
      </c>
      <c r="D31" s="77">
        <f>IF(OR(C31="",B31=0),"",C31-B31)</f>
        <v>44.045454545454561</v>
      </c>
      <c r="E31" s="73">
        <f>IF(D31="","",(C31-B31)/ABS(B31))</f>
        <v>0.14191564147627422</v>
      </c>
      <c r="F31" s="78">
        <f t="shared" ref="F31:F42" si="12">IF(G11="","",F11/$R31)</f>
        <v>246.40909090909091</v>
      </c>
      <c r="G31" s="81">
        <f t="shared" ref="G31:G42" si="13">IF(G11="","",G11/$S31)</f>
        <v>276.27272727272725</v>
      </c>
      <c r="H31" s="77">
        <f>IF(OR(G31="",F31=0),"",G31-F31)</f>
        <v>29.863636363636346</v>
      </c>
      <c r="I31" s="73">
        <f>IF(H31="","",(G31-F31)/ABS(F31))</f>
        <v>0.12119535141117868</v>
      </c>
      <c r="J31" s="78">
        <f t="shared" ref="J31:J42" si="14">IF(K11="","",J11/$R31)</f>
        <v>301.18181818181819</v>
      </c>
      <c r="K31" s="81">
        <f t="shared" ref="K31:K42" si="15">IF(K11="","",K11/$S31)</f>
        <v>323</v>
      </c>
      <c r="L31" s="77">
        <f>IF(OR(K31="",J31=0),"",K31-J31)</f>
        <v>21.818181818181813</v>
      </c>
      <c r="M31" s="73">
        <f>IF(L31="","",(K31-J31)/ABS(J31))</f>
        <v>7.2441895562933872E-2</v>
      </c>
      <c r="N31" s="78">
        <f t="shared" ref="N31:N42" si="16">IF(O11="","",N11/$R31)</f>
        <v>857.9545454545455</v>
      </c>
      <c r="O31" s="81">
        <f t="shared" ref="O31:O42" si="17">IF(O11="","",O11/$S31)</f>
        <v>953.68181818181813</v>
      </c>
      <c r="P31" s="77">
        <f>IF(OR(O31="",N31=0),"",O31-N31)</f>
        <v>95.727272727272634</v>
      </c>
      <c r="Q31" s="73">
        <f>IF(P31="","",(O31-N31)/ABS(N31))</f>
        <v>0.11157615894039724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352.04761904761904</v>
      </c>
      <c r="C32" s="81">
        <f t="shared" si="11"/>
        <v>379.35</v>
      </c>
      <c r="D32" s="77">
        <f t="shared" ref="D32:D42" si="18">IF(OR(C32="",B32=0),"",C32-B32)</f>
        <v>27.302380952380986</v>
      </c>
      <c r="E32" s="73">
        <f t="shared" ref="E32:E42" si="19">IF(D32="","",(C32-B32)/ABS(B32))</f>
        <v>7.7553090761531274E-2</v>
      </c>
      <c r="F32" s="78">
        <f t="shared" si="12"/>
        <v>286.14285714285717</v>
      </c>
      <c r="G32" s="81">
        <f t="shared" si="13"/>
        <v>292.3</v>
      </c>
      <c r="H32" s="77">
        <f t="shared" ref="H32:H42" si="20">IF(OR(G32="",F32=0),"",G32-F32)</f>
        <v>6.1571428571428442</v>
      </c>
      <c r="I32" s="73">
        <f t="shared" ref="I32:I42" si="21">IF(H32="","",(G32-F32)/ABS(F32))</f>
        <v>2.1517723414877635E-2</v>
      </c>
      <c r="J32" s="78">
        <f t="shared" si="14"/>
        <v>338.8095238095238</v>
      </c>
      <c r="K32" s="81">
        <f t="shared" si="15"/>
        <v>370.1</v>
      </c>
      <c r="L32" s="77">
        <f t="shared" ref="L32:L42" si="22">IF(OR(K32="",J32=0),"",K32-J32)</f>
        <v>31.290476190476227</v>
      </c>
      <c r="M32" s="73">
        <f t="shared" ref="M32:M42" si="23">IF(L32="","",(K32-J32)/ABS(J32))</f>
        <v>9.2354181307097785E-2</v>
      </c>
      <c r="N32" s="78">
        <f t="shared" si="16"/>
        <v>977</v>
      </c>
      <c r="O32" s="81">
        <f t="shared" si="17"/>
        <v>1041.75</v>
      </c>
      <c r="P32" s="77">
        <f t="shared" ref="P32:P42" si="24">IF(OR(O32="",N32=0),"",O32-N32)</f>
        <v>64.75</v>
      </c>
      <c r="Q32" s="73">
        <f t="shared" ref="Q32:Q42" si="25">IF(P32="","",(O32-N32)/ABS(N32))</f>
        <v>6.6274309109518939E-2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46" t="s">
        <v>8</v>
      </c>
      <c r="B33" s="79">
        <f t="shared" si="10"/>
        <v>380.63636363636363</v>
      </c>
      <c r="C33" s="82">
        <f t="shared" si="11"/>
        <v>393.35</v>
      </c>
      <c r="D33" s="84">
        <f t="shared" si="18"/>
        <v>12.713636363636397</v>
      </c>
      <c r="E33" s="74">
        <f t="shared" si="19"/>
        <v>3.3401003104848427E-2</v>
      </c>
      <c r="F33" s="79">
        <f t="shared" si="12"/>
        <v>312.36363636363637</v>
      </c>
      <c r="G33" s="82">
        <f t="shared" si="13"/>
        <v>319.60000000000002</v>
      </c>
      <c r="H33" s="84">
        <f t="shared" si="20"/>
        <v>7.2363636363636488</v>
      </c>
      <c r="I33" s="74">
        <f t="shared" si="21"/>
        <v>2.3166472642607721E-2</v>
      </c>
      <c r="J33" s="79">
        <f t="shared" si="14"/>
        <v>443.72727272727275</v>
      </c>
      <c r="K33" s="82">
        <f t="shared" si="15"/>
        <v>429.1</v>
      </c>
      <c r="L33" s="84">
        <f t="shared" si="22"/>
        <v>-14.627272727272725</v>
      </c>
      <c r="M33" s="74">
        <f t="shared" si="23"/>
        <v>-3.2964556443351764E-2</v>
      </c>
      <c r="N33" s="79">
        <f t="shared" si="16"/>
        <v>1136.7272727272727</v>
      </c>
      <c r="O33" s="82">
        <f t="shared" si="17"/>
        <v>1142.05</v>
      </c>
      <c r="P33" s="84">
        <f t="shared" si="24"/>
        <v>5.3227272727272066</v>
      </c>
      <c r="Q33" s="74">
        <f t="shared" si="25"/>
        <v>4.6825015994881054E-3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383.73684210526318</v>
      </c>
      <c r="C34" s="81">
        <f t="shared" si="11"/>
        <v>408.38095238095241</v>
      </c>
      <c r="D34" s="77">
        <f t="shared" si="18"/>
        <v>24.644110275689229</v>
      </c>
      <c r="E34" s="73">
        <f t="shared" si="19"/>
        <v>6.4221381873281483E-2</v>
      </c>
      <c r="F34" s="78">
        <f t="shared" si="12"/>
        <v>293.89473684210526</v>
      </c>
      <c r="G34" s="81">
        <f t="shared" si="13"/>
        <v>301</v>
      </c>
      <c r="H34" s="77">
        <f t="shared" si="20"/>
        <v>7.1052631578947398</v>
      </c>
      <c r="I34" s="73">
        <f t="shared" si="21"/>
        <v>2.4176217765042991E-2</v>
      </c>
      <c r="J34" s="78">
        <f t="shared" si="14"/>
        <v>477.10526315789474</v>
      </c>
      <c r="K34" s="81">
        <f t="shared" si="15"/>
        <v>466.8095238095238</v>
      </c>
      <c r="L34" s="77">
        <f t="shared" si="22"/>
        <v>-10.295739348370944</v>
      </c>
      <c r="M34" s="73">
        <f t="shared" si="23"/>
        <v>-2.1579597089801207E-2</v>
      </c>
      <c r="N34" s="78">
        <f t="shared" si="16"/>
        <v>1154.7368421052631</v>
      </c>
      <c r="O34" s="81">
        <f t="shared" si="17"/>
        <v>1176.1904761904761</v>
      </c>
      <c r="P34" s="77">
        <f t="shared" si="24"/>
        <v>21.453634085213025</v>
      </c>
      <c r="Q34" s="73">
        <f t="shared" si="25"/>
        <v>1.8578808004514471E-2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399.1</v>
      </c>
      <c r="C35" s="81">
        <f t="shared" si="11"/>
        <v>385.2</v>
      </c>
      <c r="D35" s="77">
        <f t="shared" si="18"/>
        <v>-13.900000000000034</v>
      </c>
      <c r="E35" s="73">
        <f t="shared" si="19"/>
        <v>-3.4828363818591918E-2</v>
      </c>
      <c r="F35" s="78">
        <f t="shared" si="12"/>
        <v>321.39999999999998</v>
      </c>
      <c r="G35" s="81">
        <f t="shared" si="13"/>
        <v>296.95</v>
      </c>
      <c r="H35" s="77">
        <f t="shared" si="20"/>
        <v>-24.449999999999989</v>
      </c>
      <c r="I35" s="73">
        <f t="shared" si="21"/>
        <v>-7.6073428749222127E-2</v>
      </c>
      <c r="J35" s="78">
        <f t="shared" si="14"/>
        <v>475.7</v>
      </c>
      <c r="K35" s="81">
        <f t="shared" si="15"/>
        <v>435.05</v>
      </c>
      <c r="L35" s="77">
        <f t="shared" si="22"/>
        <v>-40.649999999999977</v>
      </c>
      <c r="M35" s="73">
        <f t="shared" si="23"/>
        <v>-8.5453016607105275E-2</v>
      </c>
      <c r="N35" s="78">
        <f t="shared" si="16"/>
        <v>1196.2</v>
      </c>
      <c r="O35" s="81">
        <f t="shared" si="17"/>
        <v>1117.2</v>
      </c>
      <c r="P35" s="77">
        <f t="shared" si="24"/>
        <v>-79</v>
      </c>
      <c r="Q35" s="73">
        <f t="shared" si="25"/>
        <v>-6.6042467814746694E-2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46" t="s">
        <v>11</v>
      </c>
      <c r="B36" s="79">
        <f t="shared" si="10"/>
        <v>390.66666666666669</v>
      </c>
      <c r="C36" s="82">
        <f t="shared" si="11"/>
        <v>417.65</v>
      </c>
      <c r="D36" s="84">
        <f t="shared" si="18"/>
        <v>26.983333333333292</v>
      </c>
      <c r="E36" s="74">
        <f t="shared" si="19"/>
        <v>6.906996587030706E-2</v>
      </c>
      <c r="F36" s="79">
        <f t="shared" si="12"/>
        <v>303</v>
      </c>
      <c r="G36" s="82">
        <f t="shared" si="13"/>
        <v>283.85000000000002</v>
      </c>
      <c r="H36" s="84">
        <f t="shared" si="20"/>
        <v>-19.149999999999977</v>
      </c>
      <c r="I36" s="74">
        <f t="shared" si="21"/>
        <v>-6.3201320132013128E-2</v>
      </c>
      <c r="J36" s="79">
        <f t="shared" si="14"/>
        <v>431.95238095238096</v>
      </c>
      <c r="K36" s="82">
        <f t="shared" si="15"/>
        <v>438.05</v>
      </c>
      <c r="L36" s="84">
        <f t="shared" si="22"/>
        <v>6.0976190476190482</v>
      </c>
      <c r="M36" s="74">
        <f t="shared" si="23"/>
        <v>1.4116414948737737E-2</v>
      </c>
      <c r="N36" s="79">
        <f t="shared" si="16"/>
        <v>1125.6190476190477</v>
      </c>
      <c r="O36" s="82">
        <f t="shared" si="17"/>
        <v>1139.55</v>
      </c>
      <c r="P36" s="84">
        <f t="shared" si="24"/>
        <v>13.930952380952249</v>
      </c>
      <c r="Q36" s="74">
        <f t="shared" si="25"/>
        <v>1.2376258566714494E-2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381.59090909090907</v>
      </c>
      <c r="C37" s="81">
        <f t="shared" si="11"/>
        <v>383.04347826086956</v>
      </c>
      <c r="D37" s="77">
        <f t="shared" si="18"/>
        <v>1.4525691699604977</v>
      </c>
      <c r="E37" s="73">
        <f t="shared" si="19"/>
        <v>3.8066136675558014E-3</v>
      </c>
      <c r="F37" s="78">
        <f t="shared" si="12"/>
        <v>291.5</v>
      </c>
      <c r="G37" s="81">
        <f t="shared" si="13"/>
        <v>287.52173913043481</v>
      </c>
      <c r="H37" s="77">
        <f t="shared" si="20"/>
        <v>-3.9782608695651902</v>
      </c>
      <c r="I37" s="73">
        <f t="shared" si="21"/>
        <v>-1.3647550152882298E-2</v>
      </c>
      <c r="J37" s="78">
        <f t="shared" si="14"/>
        <v>417.72727272727275</v>
      </c>
      <c r="K37" s="81">
        <f t="shared" si="15"/>
        <v>385.17391304347825</v>
      </c>
      <c r="L37" s="77">
        <f t="shared" si="22"/>
        <v>-32.553359683794497</v>
      </c>
      <c r="M37" s="73">
        <f t="shared" si="23"/>
        <v>-7.7929696740313262E-2</v>
      </c>
      <c r="N37" s="78">
        <f t="shared" si="16"/>
        <v>1090.8181818181818</v>
      </c>
      <c r="O37" s="81">
        <f t="shared" si="17"/>
        <v>1055.7391304347825</v>
      </c>
      <c r="P37" s="77">
        <f t="shared" si="24"/>
        <v>-35.079051383399246</v>
      </c>
      <c r="Q37" s="73">
        <f t="shared" si="25"/>
        <v>-3.2158476974530524E-2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364.27272727272725</v>
      </c>
      <c r="C38" s="81">
        <f t="shared" si="11"/>
        <v>352.66666666666669</v>
      </c>
      <c r="D38" s="77">
        <f t="shared" si="18"/>
        <v>-11.606060606060566</v>
      </c>
      <c r="E38" s="73">
        <f t="shared" si="19"/>
        <v>-3.1860910074036998E-2</v>
      </c>
      <c r="F38" s="78">
        <f t="shared" si="12"/>
        <v>237</v>
      </c>
      <c r="G38" s="81">
        <f t="shared" si="13"/>
        <v>233.0952380952381</v>
      </c>
      <c r="H38" s="77">
        <f t="shared" si="20"/>
        <v>-3.904761904761898</v>
      </c>
      <c r="I38" s="73">
        <f t="shared" si="21"/>
        <v>-1.6475788627687334E-2</v>
      </c>
      <c r="J38" s="78">
        <f t="shared" si="14"/>
        <v>399.18181818181819</v>
      </c>
      <c r="K38" s="81">
        <f t="shared" si="15"/>
        <v>376.71428571428572</v>
      </c>
      <c r="L38" s="77">
        <f t="shared" si="22"/>
        <v>-22.467532467532465</v>
      </c>
      <c r="M38" s="73">
        <f t="shared" si="23"/>
        <v>-5.6283957445424075E-2</v>
      </c>
      <c r="N38" s="78">
        <f t="shared" si="16"/>
        <v>1000.4545454545455</v>
      </c>
      <c r="O38" s="81">
        <f t="shared" si="17"/>
        <v>962.47619047619048</v>
      </c>
      <c r="P38" s="77">
        <f t="shared" si="24"/>
        <v>-37.978354978355014</v>
      </c>
      <c r="Q38" s="73">
        <f t="shared" si="25"/>
        <v>-3.7961099932930953E-2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46" t="s">
        <v>14</v>
      </c>
      <c r="B39" s="79">
        <f t="shared" si="10"/>
        <v>393</v>
      </c>
      <c r="C39" s="82">
        <f t="shared" si="11"/>
        <v>399.52380952380952</v>
      </c>
      <c r="D39" s="84">
        <f t="shared" si="18"/>
        <v>6.5238095238095184</v>
      </c>
      <c r="E39" s="74">
        <f t="shared" si="19"/>
        <v>1.6600024233612006E-2</v>
      </c>
      <c r="F39" s="79">
        <f t="shared" si="12"/>
        <v>301.64999999999998</v>
      </c>
      <c r="G39" s="82">
        <f t="shared" si="13"/>
        <v>277.57142857142856</v>
      </c>
      <c r="H39" s="84">
        <f t="shared" si="20"/>
        <v>-24.078571428571422</v>
      </c>
      <c r="I39" s="74">
        <f t="shared" si="21"/>
        <v>-7.9822878927801835E-2</v>
      </c>
      <c r="J39" s="79">
        <f t="shared" si="14"/>
        <v>431.45</v>
      </c>
      <c r="K39" s="82">
        <f t="shared" si="15"/>
        <v>415.76190476190476</v>
      </c>
      <c r="L39" s="84">
        <f t="shared" si="22"/>
        <v>-15.688095238095229</v>
      </c>
      <c r="M39" s="74">
        <f t="shared" si="23"/>
        <v>-3.6361328631580092E-2</v>
      </c>
      <c r="N39" s="79">
        <f t="shared" si="16"/>
        <v>1126.0999999999999</v>
      </c>
      <c r="O39" s="82">
        <f t="shared" si="17"/>
        <v>1092.8571428571429</v>
      </c>
      <c r="P39" s="84">
        <f t="shared" si="24"/>
        <v>-33.242857142857019</v>
      </c>
      <c r="Q39" s="74">
        <f t="shared" si="25"/>
        <v>-2.952034201479178E-2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8"/>
        <v/>
      </c>
      <c r="E40" s="73" t="str">
        <f t="shared" si="19"/>
        <v/>
      </c>
      <c r="F40" s="78" t="str">
        <f t="shared" si="12"/>
        <v/>
      </c>
      <c r="G40" s="81" t="str">
        <f t="shared" si="13"/>
        <v/>
      </c>
      <c r="H40" s="77" t="str">
        <f t="shared" si="20"/>
        <v/>
      </c>
      <c r="I40" s="73" t="str">
        <f t="shared" si="21"/>
        <v/>
      </c>
      <c r="J40" s="78" t="str">
        <f t="shared" si="14"/>
        <v/>
      </c>
      <c r="K40" s="81" t="str">
        <f t="shared" si="15"/>
        <v/>
      </c>
      <c r="L40" s="77" t="str">
        <f t="shared" si="22"/>
        <v/>
      </c>
      <c r="M40" s="73" t="str">
        <f t="shared" si="23"/>
        <v/>
      </c>
      <c r="N40" s="78" t="str">
        <f t="shared" si="16"/>
        <v/>
      </c>
      <c r="O40" s="81" t="str">
        <f t="shared" si="17"/>
        <v/>
      </c>
      <c r="P40" s="77" t="str">
        <f t="shared" si="24"/>
        <v/>
      </c>
      <c r="Q40" s="73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8"/>
        <v/>
      </c>
      <c r="E41" s="73" t="str">
        <f t="shared" si="19"/>
        <v/>
      </c>
      <c r="F41" s="78" t="str">
        <f t="shared" si="12"/>
        <v/>
      </c>
      <c r="G41" s="81" t="str">
        <f t="shared" si="13"/>
        <v/>
      </c>
      <c r="H41" s="77" t="str">
        <f t="shared" si="20"/>
        <v/>
      </c>
      <c r="I41" s="73" t="str">
        <f t="shared" si="21"/>
        <v/>
      </c>
      <c r="J41" s="78" t="str">
        <f t="shared" si="14"/>
        <v/>
      </c>
      <c r="K41" s="81" t="str">
        <f t="shared" si="15"/>
        <v/>
      </c>
      <c r="L41" s="77" t="str">
        <f t="shared" si="22"/>
        <v/>
      </c>
      <c r="M41" s="73" t="str">
        <f t="shared" si="23"/>
        <v/>
      </c>
      <c r="N41" s="78" t="str">
        <f t="shared" si="16"/>
        <v/>
      </c>
      <c r="O41" s="81" t="str">
        <f t="shared" si="17"/>
        <v/>
      </c>
      <c r="P41" s="77" t="str">
        <f t="shared" si="24"/>
        <v/>
      </c>
      <c r="Q41" s="73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8"/>
        <v/>
      </c>
      <c r="E42" s="73" t="str">
        <f t="shared" si="19"/>
        <v/>
      </c>
      <c r="F42" s="78" t="str">
        <f t="shared" si="12"/>
        <v/>
      </c>
      <c r="G42" s="81" t="str">
        <f t="shared" si="13"/>
        <v/>
      </c>
      <c r="H42" s="77" t="str">
        <f t="shared" si="20"/>
        <v/>
      </c>
      <c r="I42" s="73" t="str">
        <f t="shared" si="21"/>
        <v/>
      </c>
      <c r="J42" s="78" t="str">
        <f t="shared" si="14"/>
        <v/>
      </c>
      <c r="K42" s="81" t="str">
        <f t="shared" si="15"/>
        <v/>
      </c>
      <c r="L42" s="77" t="str">
        <f t="shared" si="22"/>
        <v/>
      </c>
      <c r="M42" s="73" t="str">
        <f t="shared" si="23"/>
        <v/>
      </c>
      <c r="N42" s="78" t="str">
        <f t="shared" si="16"/>
        <v/>
      </c>
      <c r="O42" s="81" t="str">
        <f t="shared" si="17"/>
        <v/>
      </c>
      <c r="P42" s="77" t="str">
        <f t="shared" si="24"/>
        <v/>
      </c>
      <c r="Q42" s="73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45" t="s">
        <v>29</v>
      </c>
      <c r="B43" s="80">
        <f>IF(B23=0,"",SUM(B31:B42)/B44)</f>
        <v>372.82386268702055</v>
      </c>
      <c r="C43" s="83">
        <f>IF(OR(C23=0,C23=""),"",SUM(C31:C42)/C44)</f>
        <v>385.95266641570987</v>
      </c>
      <c r="D43" s="75">
        <f>IF(B23=0,"",AVERAGE(D31:D42))</f>
        <v>13.12880372868932</v>
      </c>
      <c r="E43" s="65">
        <f>IF(B23=0,"",AVERAGE(E31:E42))</f>
        <v>3.7764271899420152E-2</v>
      </c>
      <c r="F43" s="80">
        <f>IF(F23=0,"",SUM(F31:F42)/F44)</f>
        <v>288.15114680641</v>
      </c>
      <c r="G43" s="83">
        <f>IF(OR(G23=0,G23=""),"",SUM(G31:G42)/G44)</f>
        <v>285.35123700775875</v>
      </c>
      <c r="H43" s="75">
        <f>IF(F23=0,"",AVERAGE(H31:H42))</f>
        <v>-2.7999097986512109</v>
      </c>
      <c r="I43" s="65">
        <f>IF(F23=0,"",AVERAGE(I31:I42))</f>
        <v>-6.5739112617666318E-3</v>
      </c>
      <c r="J43" s="80">
        <f>IF(J23=0,"",SUM(J31:J42)/J44)</f>
        <v>412.98170552644234</v>
      </c>
      <c r="K43" s="83">
        <f>IF(OR(K23=0,K23=""),"",SUM(K31:K42)/K44)</f>
        <v>404.41773636991024</v>
      </c>
      <c r="L43" s="75">
        <f>IF(J23=0,"",AVERAGE(L31:L42))</f>
        <v>-8.5639691565320835</v>
      </c>
      <c r="M43" s="65">
        <f>IF(J23=0,"",AVERAGE(M31:M42))</f>
        <v>-1.4628851237645143E-2</v>
      </c>
      <c r="N43" s="80">
        <f>IF(N23=0,"",SUM(N31:N42)/N44)</f>
        <v>1073.9567150198729</v>
      </c>
      <c r="O43" s="83">
        <f>IF(OR(O23=0,O23=""),"",SUM(O31:O42)/O44)</f>
        <v>1075.7216397933789</v>
      </c>
      <c r="P43" s="75">
        <f>IF(N23=0,"",AVERAGE(P31:P42))</f>
        <v>1.7649247735059816</v>
      </c>
      <c r="Q43" s="65">
        <f>IF(N23=0,"",AVERAGE(Q31:Q42))</f>
        <v>5.3117388315148057E-3</v>
      </c>
      <c r="R43" s="102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61">
        <f>COUNTIF(B31:B42,"&gt;0")</f>
        <v>9</v>
      </c>
      <c r="C44" s="61">
        <f>COUNTIF(C31:C42,"&gt;0")</f>
        <v>9</v>
      </c>
      <c r="D44" s="62"/>
      <c r="E44" s="63"/>
      <c r="F44" s="61">
        <f>COUNTIF(F31:F42,"&gt;0")</f>
        <v>9</v>
      </c>
      <c r="G44" s="61">
        <f>COUNTIF(G31:G42,"&gt;0")</f>
        <v>9</v>
      </c>
      <c r="H44" s="62"/>
      <c r="I44" s="63"/>
      <c r="J44" s="61">
        <f>COUNTIF(J31:J42,"&gt;0")</f>
        <v>9</v>
      </c>
      <c r="K44" s="61">
        <f>COUNTIF(K31:K42,"&gt;0")</f>
        <v>9</v>
      </c>
      <c r="L44" s="62"/>
      <c r="M44" s="63"/>
      <c r="N44" s="61">
        <f>COUNTIF(N31:N42,"&gt;0")</f>
        <v>9</v>
      </c>
      <c r="O44" s="61">
        <f>COUNTIF(O31:O42,"&gt;0")</f>
        <v>9</v>
      </c>
      <c r="P44" s="62"/>
      <c r="Q44" s="63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J8:M8"/>
    <mergeCell ref="N8:Q8"/>
    <mergeCell ref="B2:E2"/>
    <mergeCell ref="D3:E3"/>
    <mergeCell ref="B3:C3"/>
    <mergeCell ref="B6:E7"/>
    <mergeCell ref="B8:E8"/>
    <mergeCell ref="F8:I8"/>
    <mergeCell ref="B26:E27"/>
    <mergeCell ref="P9:Q9"/>
    <mergeCell ref="L9:M9"/>
    <mergeCell ref="D9:E9"/>
    <mergeCell ref="H9:I9"/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</mergeCells>
  <phoneticPr fontId="0" type="noConversion"/>
  <conditionalFormatting sqref="F21 B18:B21 F13:F16 N18:N21 J13:J16 J18:J21 N13:N16 F18:F19 B14:B16">
    <cfRule type="expression" dxfId="24" priority="3" stopIfTrue="1">
      <formula>C13=""</formula>
    </cfRule>
  </conditionalFormatting>
  <conditionalFormatting sqref="B17 F20 N22 F17 F12 F22 J17 J12 J22 N17 N12">
    <cfRule type="expression" dxfId="23" priority="4" stopIfTrue="1">
      <formula>C12=""</formula>
    </cfRule>
  </conditionalFormatting>
  <conditionalFormatting sqref="R43:S43 S31:S42">
    <cfRule type="expression" dxfId="22" priority="5" stopIfTrue="1">
      <formula>R31&lt;$R31</formula>
    </cfRule>
    <cfRule type="expression" dxfId="21" priority="6" stopIfTrue="1">
      <formula>R31&gt;$R31</formula>
    </cfRule>
  </conditionalFormatting>
  <conditionalFormatting sqref="B22 B12:B13">
    <cfRule type="expression" dxfId="20" priority="7" stopIfTrue="1">
      <formula>C12=""</formula>
    </cfRule>
  </conditionalFormatting>
  <conditionalFormatting sqref="S31:S42">
    <cfRule type="expression" dxfId="19" priority="1" stopIfTrue="1">
      <formula>S31&lt;$R31</formula>
    </cfRule>
    <cfRule type="expression" dxfId="18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0"/>
  <sheetViews>
    <sheetView showGridLines="0" workbookViewId="0">
      <selection activeCell="E4" sqref="E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0.099999999999994" customHeight="1"/>
    <row r="2" spans="1:17" ht="16.5" customHeight="1">
      <c r="A2" s="100" t="s">
        <v>27</v>
      </c>
      <c r="B2" s="139" t="s">
        <v>51</v>
      </c>
      <c r="C2" s="139"/>
      <c r="D2" s="139"/>
      <c r="E2" s="139"/>
      <c r="Q2" s="95"/>
    </row>
    <row r="3" spans="1:17" ht="13.5" customHeight="1">
      <c r="A3" s="1"/>
      <c r="B3" s="140" t="s">
        <v>20</v>
      </c>
      <c r="C3" s="140"/>
      <c r="D3" s="141" t="s">
        <v>19</v>
      </c>
      <c r="E3" s="141"/>
      <c r="Q3" s="94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5"/>
    </row>
    <row r="5" spans="1:17" ht="5.0999999999999996" customHeight="1">
      <c r="A5" s="52"/>
      <c r="B5" s="52"/>
      <c r="C5" s="56"/>
      <c r="D5" s="56"/>
      <c r="E5" s="5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5"/>
    </row>
    <row r="6" spans="1:17" ht="11.25" customHeight="1">
      <c r="A6" s="7"/>
      <c r="B6" s="134" t="s">
        <v>30</v>
      </c>
      <c r="C6" s="135"/>
      <c r="D6" s="135"/>
      <c r="E6" s="135"/>
      <c r="F6" s="9" t="s">
        <v>32</v>
      </c>
    </row>
    <row r="7" spans="1:17" ht="11.25" customHeight="1" thickBot="1">
      <c r="B7" s="136"/>
      <c r="C7" s="136"/>
      <c r="D7" s="136"/>
      <c r="E7" s="136"/>
      <c r="F7" s="2" t="s">
        <v>33</v>
      </c>
    </row>
    <row r="8" spans="1:17" s="9" customFormat="1" ht="11.25" customHeight="1" thickBot="1">
      <c r="A8" s="8" t="s">
        <v>4</v>
      </c>
      <c r="B8" s="120" t="s">
        <v>0</v>
      </c>
      <c r="C8" s="121"/>
      <c r="D8" s="121"/>
      <c r="E8" s="122"/>
      <c r="F8" s="129" t="s">
        <v>1</v>
      </c>
      <c r="G8" s="130"/>
      <c r="H8" s="130"/>
      <c r="I8" s="131"/>
      <c r="J8" s="137" t="s">
        <v>2</v>
      </c>
      <c r="K8" s="138"/>
      <c r="L8" s="138"/>
      <c r="M8" s="138"/>
      <c r="N8" s="126" t="s">
        <v>3</v>
      </c>
      <c r="O8" s="127"/>
      <c r="P8" s="127"/>
      <c r="Q8" s="128"/>
    </row>
    <row r="9" spans="1:17" s="9" customFormat="1" ht="11.25" customHeight="1">
      <c r="A9" s="10"/>
      <c r="B9" s="50">
        <f>'BON-NS'!B9</f>
        <v>2012</v>
      </c>
      <c r="C9" s="51">
        <f>'BON-NS'!C9</f>
        <v>2013</v>
      </c>
      <c r="D9" s="123" t="s">
        <v>5</v>
      </c>
      <c r="E9" s="125"/>
      <c r="F9" s="50">
        <f>$B$9</f>
        <v>2012</v>
      </c>
      <c r="G9" s="51">
        <f>$C$9</f>
        <v>2013</v>
      </c>
      <c r="H9" s="123" t="s">
        <v>5</v>
      </c>
      <c r="I9" s="125"/>
      <c r="J9" s="50">
        <f>$B$9</f>
        <v>2012</v>
      </c>
      <c r="K9" s="51">
        <f>$C$9</f>
        <v>2013</v>
      </c>
      <c r="L9" s="123" t="s">
        <v>5</v>
      </c>
      <c r="M9" s="124"/>
      <c r="N9" s="50">
        <f>$B$9</f>
        <v>2012</v>
      </c>
      <c r="O9" s="51">
        <f>$C$9</f>
        <v>2013</v>
      </c>
      <c r="P9" s="123" t="s">
        <v>5</v>
      </c>
      <c r="Q9" s="125"/>
    </row>
    <row r="10" spans="1:17" s="9" customFormat="1" ht="11.25" customHeight="1">
      <c r="A10" s="87" t="s">
        <v>24</v>
      </c>
      <c r="B10" s="11">
        <f>$R$43</f>
        <v>253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38">
        <f>SUM('BON-NS'!B11,'BSL-NS'!B11,'BWA-NS'!B11,'RFA-NS'!B11)</f>
        <v>37034</v>
      </c>
      <c r="C11" s="47">
        <f>IF('BON-NS'!C11="","",SUM('BON-NS'!C11,'BSL-NS'!C11,'BWA-NS'!C11,'RFA-NS'!C11))</f>
        <v>38457</v>
      </c>
      <c r="D11" s="21">
        <f t="shared" ref="D11:D22" si="0">IF(C11="","",C11-B11)</f>
        <v>1423</v>
      </c>
      <c r="E11" s="71">
        <f t="shared" ref="E11:E23" si="1">IF(D11="","",D11/B11)</f>
        <v>3.8424150780363993E-2</v>
      </c>
      <c r="F11" s="38">
        <f>SUM('BON-NS'!F11,'BSL-NS'!F11,'BWA-NS'!F11,'RFA-NS'!F11)</f>
        <v>36573</v>
      </c>
      <c r="G11" s="47">
        <f>IF('BON-NS'!G11="","",SUM('BON-NS'!G11,'BSL-NS'!G11,'BWA-NS'!G11,'RFA-NS'!G11))</f>
        <v>36742</v>
      </c>
      <c r="H11" s="21">
        <f t="shared" ref="H11:H22" si="2">IF(G11="","",G11-F11)</f>
        <v>169</v>
      </c>
      <c r="I11" s="71">
        <f t="shared" ref="I11:I23" si="3">IF(H11="","",H11/F11)</f>
        <v>4.6208951959095506E-3</v>
      </c>
      <c r="J11" s="38">
        <f>SUM('BON-NS'!J11,'BSL-NS'!J11,'BWA-NS'!J11,'RFA-NS'!J11)</f>
        <v>6063</v>
      </c>
      <c r="K11" s="47">
        <f>IF('BON-NS'!K11="","",SUM('BON-NS'!K11,'BSL-NS'!K11,'BWA-NS'!K11,'RFA-NS'!K11))</f>
        <v>6199</v>
      </c>
      <c r="L11" s="21">
        <f t="shared" ref="L11:L22" si="4">IF(K11="","",K11-J11)</f>
        <v>136</v>
      </c>
      <c r="M11" s="71">
        <f t="shared" ref="M11:M23" si="5">IF(L11="","",L11/J11)</f>
        <v>2.243113969981857E-2</v>
      </c>
      <c r="N11" s="38">
        <f>SUM(B11,F11,J11)</f>
        <v>79670</v>
      </c>
      <c r="O11" s="34">
        <f t="shared" ref="O11:O22" si="6">IF(C11="","",SUM(C11,G11,K11))</f>
        <v>81398</v>
      </c>
      <c r="P11" s="21">
        <f t="shared" ref="P11:P22" si="7">IF(O11="","",O11-N11)</f>
        <v>1728</v>
      </c>
      <c r="Q11" s="71">
        <f t="shared" ref="Q11:Q23" si="8">IF(P11="","",P11/N11)</f>
        <v>2.1689469059871971E-2</v>
      </c>
    </row>
    <row r="12" spans="1:17" ht="11.25" customHeight="1">
      <c r="A12" s="20" t="s">
        <v>7</v>
      </c>
      <c r="B12" s="38">
        <f>SUM('BON-NS'!B12,'BSL-NS'!B12,'BWA-NS'!B12,'RFA-NS'!B12)</f>
        <v>38254</v>
      </c>
      <c r="C12" s="47">
        <f>IF('BON-NS'!C12="","",SUM('BON-NS'!C12,'BSL-NS'!C12,'BWA-NS'!C12,'RFA-NS'!C12))</f>
        <v>38967</v>
      </c>
      <c r="D12" s="21">
        <f t="shared" si="0"/>
        <v>713</v>
      </c>
      <c r="E12" s="71">
        <f t="shared" si="1"/>
        <v>1.8638573743922204E-2</v>
      </c>
      <c r="F12" s="38">
        <f>SUM('BON-NS'!F12,'BSL-NS'!F12,'BWA-NS'!F12,'RFA-NS'!F12)</f>
        <v>40196</v>
      </c>
      <c r="G12" s="47">
        <f>IF('BON-NS'!G12="","",SUM('BON-NS'!G12,'BSL-NS'!G12,'BWA-NS'!G12,'RFA-NS'!G12))</f>
        <v>35347</v>
      </c>
      <c r="H12" s="21">
        <f t="shared" si="2"/>
        <v>-4849</v>
      </c>
      <c r="I12" s="71">
        <f t="shared" si="3"/>
        <v>-0.12063389391979301</v>
      </c>
      <c r="J12" s="38">
        <f>SUM('BON-NS'!J12,'BSL-NS'!J12,'BWA-NS'!J12,'RFA-NS'!J12)</f>
        <v>5834</v>
      </c>
      <c r="K12" s="47">
        <f>IF('BON-NS'!K12="","",SUM('BON-NS'!K12,'BSL-NS'!K12,'BWA-NS'!K12,'RFA-NS'!K12))</f>
        <v>5254</v>
      </c>
      <c r="L12" s="21">
        <f t="shared" si="4"/>
        <v>-580</v>
      </c>
      <c r="M12" s="71">
        <f t="shared" si="5"/>
        <v>-9.9417209461775791E-2</v>
      </c>
      <c r="N12" s="38">
        <f t="shared" ref="N12:N22" si="9">SUM(B12,F12,J12)</f>
        <v>84284</v>
      </c>
      <c r="O12" s="34">
        <f t="shared" si="6"/>
        <v>79568</v>
      </c>
      <c r="P12" s="21">
        <f t="shared" si="7"/>
        <v>-4716</v>
      </c>
      <c r="Q12" s="71">
        <f t="shared" si="8"/>
        <v>-5.5953680413838927E-2</v>
      </c>
    </row>
    <row r="13" spans="1:17" ht="11.25" customHeight="1">
      <c r="A13" s="20" t="s">
        <v>8</v>
      </c>
      <c r="B13" s="40">
        <f>SUM('BON-NS'!B13,'BSL-NS'!B13,'BWA-NS'!B13,'RFA-NS'!B13)</f>
        <v>44516</v>
      </c>
      <c r="C13" s="48">
        <f>IF('BON-NS'!C13="","",SUM('BON-NS'!C13,'BSL-NS'!C13,'BWA-NS'!C13,'RFA-NS'!C13))</f>
        <v>42355</v>
      </c>
      <c r="D13" s="22">
        <f t="shared" si="0"/>
        <v>-2161</v>
      </c>
      <c r="E13" s="72">
        <f t="shared" si="1"/>
        <v>-4.8544343606793064E-2</v>
      </c>
      <c r="F13" s="40">
        <f>SUM('BON-NS'!F13,'BSL-NS'!F13,'BWA-NS'!F13,'RFA-NS'!F13)</f>
        <v>43441</v>
      </c>
      <c r="G13" s="48">
        <f>IF('BON-NS'!G13="","",SUM('BON-NS'!G13,'BSL-NS'!G13,'BWA-NS'!G13,'RFA-NS'!G13))</f>
        <v>37808</v>
      </c>
      <c r="H13" s="22">
        <f t="shared" si="2"/>
        <v>-5633</v>
      </c>
      <c r="I13" s="72">
        <f t="shared" si="3"/>
        <v>-0.12967012729909533</v>
      </c>
      <c r="J13" s="40">
        <f>SUM('BON-NS'!J13,'BSL-NS'!J13,'BWA-NS'!J13,'RFA-NS'!J13)</f>
        <v>7192</v>
      </c>
      <c r="K13" s="48">
        <f>IF('BON-NS'!K13="","",SUM('BON-NS'!K13,'BSL-NS'!K13,'BWA-NS'!K13,'RFA-NS'!K13))</f>
        <v>5237</v>
      </c>
      <c r="L13" s="22">
        <f t="shared" si="4"/>
        <v>-1955</v>
      </c>
      <c r="M13" s="72">
        <f t="shared" si="5"/>
        <v>-0.27182981090100111</v>
      </c>
      <c r="N13" s="40">
        <f t="shared" si="9"/>
        <v>95149</v>
      </c>
      <c r="O13" s="35">
        <f t="shared" si="6"/>
        <v>85400</v>
      </c>
      <c r="P13" s="22">
        <f t="shared" si="7"/>
        <v>-9749</v>
      </c>
      <c r="Q13" s="72">
        <f t="shared" si="8"/>
        <v>-0.10246035165897698</v>
      </c>
    </row>
    <row r="14" spans="1:17" ht="11.25" customHeight="1">
      <c r="A14" s="20" t="s">
        <v>9</v>
      </c>
      <c r="B14" s="38">
        <f>SUM('BON-NS'!B14,'BSL-NS'!B14,'BWA-NS'!B14,'RFA-NS'!B14)</f>
        <v>39970</v>
      </c>
      <c r="C14" s="47">
        <f>IF('BON-NS'!C14="","",SUM('BON-NS'!C14,'BSL-NS'!C14,'BWA-NS'!C14,'RFA-NS'!C14))</f>
        <v>46763</v>
      </c>
      <c r="D14" s="21">
        <f t="shared" si="0"/>
        <v>6793</v>
      </c>
      <c r="E14" s="71">
        <f t="shared" si="1"/>
        <v>0.1699524643482612</v>
      </c>
      <c r="F14" s="38">
        <f>SUM('BON-NS'!F14,'BSL-NS'!F14,'BWA-NS'!F14,'RFA-NS'!F14)</f>
        <v>34682</v>
      </c>
      <c r="G14" s="47">
        <f>IF('BON-NS'!G14="","",SUM('BON-NS'!G14,'BSL-NS'!G14,'BWA-NS'!G14,'RFA-NS'!G14))</f>
        <v>37946</v>
      </c>
      <c r="H14" s="21">
        <f t="shared" si="2"/>
        <v>3264</v>
      </c>
      <c r="I14" s="71">
        <f t="shared" si="3"/>
        <v>9.4112219595179056E-2</v>
      </c>
      <c r="J14" s="38">
        <f>SUM('BON-NS'!J14,'BSL-NS'!J14,'BWA-NS'!J14,'RFA-NS'!J14)</f>
        <v>6066</v>
      </c>
      <c r="K14" s="47">
        <f>IF('BON-NS'!K14="","",SUM('BON-NS'!K14,'BSL-NS'!K14,'BWA-NS'!K14,'RFA-NS'!K14))</f>
        <v>6248</v>
      </c>
      <c r="L14" s="21">
        <f t="shared" si="4"/>
        <v>182</v>
      </c>
      <c r="M14" s="71">
        <f t="shared" si="5"/>
        <v>3.0003297065611605E-2</v>
      </c>
      <c r="N14" s="38">
        <f t="shared" si="9"/>
        <v>80718</v>
      </c>
      <c r="O14" s="34">
        <f t="shared" si="6"/>
        <v>90957</v>
      </c>
      <c r="P14" s="21">
        <f t="shared" si="7"/>
        <v>10239</v>
      </c>
      <c r="Q14" s="71">
        <f t="shared" si="8"/>
        <v>0.12684902995614361</v>
      </c>
    </row>
    <row r="15" spans="1:17" ht="11.25" customHeight="1">
      <c r="A15" s="20" t="s">
        <v>10</v>
      </c>
      <c r="B15" s="38">
        <f>SUM('BON-NS'!B15,'BSL-NS'!B15,'BWA-NS'!B15,'RFA-NS'!B15)</f>
        <v>41708</v>
      </c>
      <c r="C15" s="47">
        <f>IF('BON-NS'!C15="","",SUM('BON-NS'!C15,'BSL-NS'!C15,'BWA-NS'!C15,'RFA-NS'!C15))</f>
        <v>41077</v>
      </c>
      <c r="D15" s="21">
        <f t="shared" si="0"/>
        <v>-631</v>
      </c>
      <c r="E15" s="71">
        <f t="shared" si="1"/>
        <v>-1.5128992039896422E-2</v>
      </c>
      <c r="F15" s="38">
        <f>SUM('BON-NS'!F15,'BSL-NS'!F15,'BWA-NS'!F15,'RFA-NS'!F15)</f>
        <v>37177</v>
      </c>
      <c r="G15" s="47">
        <f>IF('BON-NS'!G15="","",SUM('BON-NS'!G15,'BSL-NS'!G15,'BWA-NS'!G15,'RFA-NS'!G15))</f>
        <v>36889</v>
      </c>
      <c r="H15" s="21">
        <f t="shared" si="2"/>
        <v>-288</v>
      </c>
      <c r="I15" s="71">
        <f t="shared" si="3"/>
        <v>-7.746725125749792E-3</v>
      </c>
      <c r="J15" s="38">
        <f>SUM('BON-NS'!J15,'BSL-NS'!J15,'BWA-NS'!J15,'RFA-NS'!J15)</f>
        <v>5849</v>
      </c>
      <c r="K15" s="47">
        <f>IF('BON-NS'!K15="","",SUM('BON-NS'!K15,'BSL-NS'!K15,'BWA-NS'!K15,'RFA-NS'!K15))</f>
        <v>6442</v>
      </c>
      <c r="L15" s="21">
        <f t="shared" si="4"/>
        <v>593</v>
      </c>
      <c r="M15" s="71">
        <f t="shared" si="5"/>
        <v>0.10138485211147205</v>
      </c>
      <c r="N15" s="38">
        <f t="shared" si="9"/>
        <v>84734</v>
      </c>
      <c r="O15" s="34">
        <f t="shared" si="6"/>
        <v>84408</v>
      </c>
      <c r="P15" s="21">
        <f t="shared" si="7"/>
        <v>-326</v>
      </c>
      <c r="Q15" s="71">
        <f t="shared" si="8"/>
        <v>-3.8473340099605827E-3</v>
      </c>
    </row>
    <row r="16" spans="1:17" ht="11.25" customHeight="1">
      <c r="A16" s="20" t="s">
        <v>11</v>
      </c>
      <c r="B16" s="40">
        <f>SUM('BON-NS'!B16,'BSL-NS'!B16,'BWA-NS'!B16,'RFA-NS'!B16)</f>
        <v>42839</v>
      </c>
      <c r="C16" s="48">
        <f>IF('BON-NS'!C16="","",SUM('BON-NS'!C16,'BSL-NS'!C16,'BWA-NS'!C16,'RFA-NS'!C16))</f>
        <v>42396</v>
      </c>
      <c r="D16" s="22">
        <f t="shared" si="0"/>
        <v>-443</v>
      </c>
      <c r="E16" s="72">
        <f t="shared" si="1"/>
        <v>-1.0341044375452274E-2</v>
      </c>
      <c r="F16" s="40">
        <f>SUM('BON-NS'!F16,'BSL-NS'!F16,'BWA-NS'!F16,'RFA-NS'!F16)</f>
        <v>39214</v>
      </c>
      <c r="G16" s="48">
        <f>IF('BON-NS'!G16="","",SUM('BON-NS'!G16,'BSL-NS'!G16,'BWA-NS'!G16,'RFA-NS'!G16))</f>
        <v>36592</v>
      </c>
      <c r="H16" s="22">
        <f t="shared" si="2"/>
        <v>-2622</v>
      </c>
      <c r="I16" s="72">
        <f t="shared" si="3"/>
        <v>-6.6863875146631307E-2</v>
      </c>
      <c r="J16" s="40">
        <f>SUM('BON-NS'!J16,'BSL-NS'!J16,'BWA-NS'!J16,'RFA-NS'!J16)</f>
        <v>5404</v>
      </c>
      <c r="K16" s="48">
        <f>IF('BON-NS'!K16="","",SUM('BON-NS'!K16,'BSL-NS'!K16,'BWA-NS'!K16,'RFA-NS'!K16))</f>
        <v>5999</v>
      </c>
      <c r="L16" s="22">
        <f t="shared" si="4"/>
        <v>595</v>
      </c>
      <c r="M16" s="72">
        <f t="shared" si="5"/>
        <v>0.11010362694300518</v>
      </c>
      <c r="N16" s="40">
        <f t="shared" si="9"/>
        <v>87457</v>
      </c>
      <c r="O16" s="35">
        <f t="shared" si="6"/>
        <v>84987</v>
      </c>
      <c r="P16" s="22">
        <f t="shared" si="7"/>
        <v>-2470</v>
      </c>
      <c r="Q16" s="72">
        <f t="shared" si="8"/>
        <v>-2.8242450575711491E-2</v>
      </c>
    </row>
    <row r="17" spans="1:21" ht="11.25" customHeight="1">
      <c r="A17" s="20" t="s">
        <v>12</v>
      </c>
      <c r="B17" s="38">
        <f>SUM('BON-NS'!B17,'BSL-NS'!B17,'BWA-NS'!B17,'RFA-NS'!B17)</f>
        <v>42234</v>
      </c>
      <c r="C17" s="47">
        <f>IF('BON-NS'!C17="","",SUM('BON-NS'!C17,'BSL-NS'!C17,'BWA-NS'!C17,'RFA-NS'!C17))</f>
        <v>45809</v>
      </c>
      <c r="D17" s="21">
        <f t="shared" si="0"/>
        <v>3575</v>
      </c>
      <c r="E17" s="71">
        <f t="shared" si="1"/>
        <v>8.4647440450821607E-2</v>
      </c>
      <c r="F17" s="38">
        <f>SUM('BON-NS'!F17,'BSL-NS'!F17,'BWA-NS'!F17,'RFA-NS'!F17)</f>
        <v>36793</v>
      </c>
      <c r="G17" s="47">
        <f>IF('BON-NS'!G17="","",SUM('BON-NS'!G17,'BSL-NS'!G17,'BWA-NS'!G17,'RFA-NS'!G17))</f>
        <v>38066</v>
      </c>
      <c r="H17" s="21">
        <f t="shared" si="2"/>
        <v>1273</v>
      </c>
      <c r="I17" s="71">
        <f t="shared" si="3"/>
        <v>3.4598972630663444E-2</v>
      </c>
      <c r="J17" s="38">
        <f>SUM('BON-NS'!J17,'BSL-NS'!J17,'BWA-NS'!J17,'RFA-NS'!J17)</f>
        <v>6094</v>
      </c>
      <c r="K17" s="47">
        <f>IF('BON-NS'!K17="","",SUM('BON-NS'!K17,'BSL-NS'!K17,'BWA-NS'!K17,'RFA-NS'!K17))</f>
        <v>7278</v>
      </c>
      <c r="L17" s="21">
        <f t="shared" si="4"/>
        <v>1184</v>
      </c>
      <c r="M17" s="71">
        <f t="shared" si="5"/>
        <v>0.19428946504758779</v>
      </c>
      <c r="N17" s="38">
        <f t="shared" si="9"/>
        <v>85121</v>
      </c>
      <c r="O17" s="34">
        <f t="shared" si="6"/>
        <v>91153</v>
      </c>
      <c r="P17" s="21">
        <f t="shared" si="7"/>
        <v>6032</v>
      </c>
      <c r="Q17" s="71">
        <f t="shared" si="8"/>
        <v>7.0863829137345666E-2</v>
      </c>
    </row>
    <row r="18" spans="1:21" ht="11.25" customHeight="1">
      <c r="A18" s="20" t="s">
        <v>13</v>
      </c>
      <c r="B18" s="38">
        <f>SUM('BON-NS'!B18,'BSL-NS'!B18,'BWA-NS'!B18,'RFA-NS'!B18)</f>
        <v>39091</v>
      </c>
      <c r="C18" s="47">
        <f>IF('BON-NS'!C18="","",SUM('BON-NS'!C18,'BSL-NS'!C18,'BWA-NS'!C18,'RFA-NS'!C18))</f>
        <v>39084</v>
      </c>
      <c r="D18" s="21">
        <f t="shared" si="0"/>
        <v>-7</v>
      </c>
      <c r="E18" s="71">
        <f t="shared" si="1"/>
        <v>-1.7906935100150929E-4</v>
      </c>
      <c r="F18" s="38">
        <f>SUM('BON-NS'!F18,'BSL-NS'!F18,'BWA-NS'!F18,'RFA-NS'!F18)</f>
        <v>30996</v>
      </c>
      <c r="G18" s="47">
        <f>IF('BON-NS'!G18="","",SUM('BON-NS'!G18,'BSL-NS'!G18,'BWA-NS'!G18,'RFA-NS'!G18))</f>
        <v>28533</v>
      </c>
      <c r="H18" s="21">
        <f t="shared" si="2"/>
        <v>-2463</v>
      </c>
      <c r="I18" s="71">
        <f t="shared" si="3"/>
        <v>-7.9461866047231905E-2</v>
      </c>
      <c r="J18" s="38">
        <f>SUM('BON-NS'!J18,'BSL-NS'!J18,'BWA-NS'!J18,'RFA-NS'!J18)</f>
        <v>5853</v>
      </c>
      <c r="K18" s="47">
        <f>IF('BON-NS'!K18="","",SUM('BON-NS'!K18,'BSL-NS'!K18,'BWA-NS'!K18,'RFA-NS'!K18))</f>
        <v>6874</v>
      </c>
      <c r="L18" s="21">
        <f t="shared" si="4"/>
        <v>1021</v>
      </c>
      <c r="M18" s="71">
        <f t="shared" si="5"/>
        <v>0.17444045788484538</v>
      </c>
      <c r="N18" s="38">
        <f t="shared" si="9"/>
        <v>75940</v>
      </c>
      <c r="O18" s="34">
        <f t="shared" si="6"/>
        <v>74491</v>
      </c>
      <c r="P18" s="21">
        <f t="shared" si="7"/>
        <v>-1449</v>
      </c>
      <c r="Q18" s="71">
        <f t="shared" si="8"/>
        <v>-1.908085330524098E-2</v>
      </c>
    </row>
    <row r="19" spans="1:21" ht="11.25" customHeight="1">
      <c r="A19" s="20" t="s">
        <v>14</v>
      </c>
      <c r="B19" s="40">
        <f>SUM('BON-NS'!B19,'BSL-NS'!B19,'BWA-NS'!B19,'RFA-NS'!B19)</f>
        <v>41034</v>
      </c>
      <c r="C19" s="48">
        <f>IF('BON-NS'!C19="","",SUM('BON-NS'!C19,'BSL-NS'!C19,'BWA-NS'!C19,'RFA-NS'!C19))</f>
        <v>43231</v>
      </c>
      <c r="D19" s="22">
        <f t="shared" si="0"/>
        <v>2197</v>
      </c>
      <c r="E19" s="72">
        <f t="shared" si="1"/>
        <v>5.3540966028171759E-2</v>
      </c>
      <c r="F19" s="40">
        <f>SUM('BON-NS'!F19,'BSL-NS'!F19,'BWA-NS'!F19,'RFA-NS'!F19)</f>
        <v>36618</v>
      </c>
      <c r="G19" s="48">
        <f>IF('BON-NS'!G19="","",SUM('BON-NS'!G19,'BSL-NS'!G19,'BWA-NS'!G19,'RFA-NS'!G19))</f>
        <v>38035</v>
      </c>
      <c r="H19" s="22">
        <f t="shared" si="2"/>
        <v>1417</v>
      </c>
      <c r="I19" s="72">
        <f t="shared" si="3"/>
        <v>3.8696815773663226E-2</v>
      </c>
      <c r="J19" s="40">
        <f>SUM('BON-NS'!J19,'BSL-NS'!J19,'BWA-NS'!J19,'RFA-NS'!J19)</f>
        <v>5604</v>
      </c>
      <c r="K19" s="48">
        <f>IF('BON-NS'!K19="","",SUM('BON-NS'!K19,'BSL-NS'!K19,'BWA-NS'!K19,'RFA-NS'!K19))</f>
        <v>6332</v>
      </c>
      <c r="L19" s="22">
        <f t="shared" si="4"/>
        <v>728</v>
      </c>
      <c r="M19" s="72">
        <f t="shared" si="5"/>
        <v>0.12990720913633119</v>
      </c>
      <c r="N19" s="40">
        <f t="shared" si="9"/>
        <v>83256</v>
      </c>
      <c r="O19" s="35">
        <f t="shared" si="6"/>
        <v>87598</v>
      </c>
      <c r="P19" s="22">
        <f t="shared" si="7"/>
        <v>4342</v>
      </c>
      <c r="Q19" s="72">
        <f t="shared" si="8"/>
        <v>5.2152397424810225E-2</v>
      </c>
    </row>
    <row r="20" spans="1:21" ht="11.25" customHeight="1">
      <c r="A20" s="20" t="s">
        <v>15</v>
      </c>
      <c r="B20" s="38">
        <f>SUM('BON-NS'!B20,'BSL-NS'!B20,'BWA-NS'!B20,'RFA-NS'!B20)</f>
        <v>46253</v>
      </c>
      <c r="C20" s="47" t="str">
        <f>IF('BON-NS'!C20="","",SUM('BON-NS'!C20,'BSL-NS'!C20,'BWA-NS'!C20,'RFA-NS'!C20))</f>
        <v/>
      </c>
      <c r="D20" s="21" t="str">
        <f t="shared" si="0"/>
        <v/>
      </c>
      <c r="E20" s="71" t="str">
        <f t="shared" si="1"/>
        <v/>
      </c>
      <c r="F20" s="38">
        <f>SUM('BON-NS'!F20,'BSL-NS'!F20,'BWA-NS'!F20,'RFA-NS'!F20)</f>
        <v>39037</v>
      </c>
      <c r="G20" s="47" t="str">
        <f>IF('BON-NS'!G20="","",SUM('BON-NS'!G20,'BSL-NS'!G20,'BWA-NS'!G20,'RFA-NS'!G20))</f>
        <v/>
      </c>
      <c r="H20" s="21" t="str">
        <f t="shared" si="2"/>
        <v/>
      </c>
      <c r="I20" s="71" t="str">
        <f t="shared" si="3"/>
        <v/>
      </c>
      <c r="J20" s="38">
        <f>SUM('BON-NS'!J20,'BSL-NS'!J20,'BWA-NS'!J20,'RFA-NS'!J20)</f>
        <v>6287</v>
      </c>
      <c r="K20" s="47" t="str">
        <f>IF('BON-NS'!K20="","",SUM('BON-NS'!K20,'BSL-NS'!K20,'BWA-NS'!K20,'RFA-NS'!K20))</f>
        <v/>
      </c>
      <c r="L20" s="21" t="str">
        <f t="shared" si="4"/>
        <v/>
      </c>
      <c r="M20" s="71" t="str">
        <f t="shared" si="5"/>
        <v/>
      </c>
      <c r="N20" s="38">
        <f t="shared" si="9"/>
        <v>91577</v>
      </c>
      <c r="O20" s="34" t="str">
        <f t="shared" si="6"/>
        <v/>
      </c>
      <c r="P20" s="21" t="str">
        <f t="shared" si="7"/>
        <v/>
      </c>
      <c r="Q20" s="71" t="str">
        <f t="shared" si="8"/>
        <v/>
      </c>
    </row>
    <row r="21" spans="1:21" ht="11.25" customHeight="1">
      <c r="A21" s="20" t="s">
        <v>16</v>
      </c>
      <c r="B21" s="38">
        <f>SUM('BON-NS'!B21,'BSL-NS'!B21,'BWA-NS'!B21,'RFA-NS'!B21)</f>
        <v>41888</v>
      </c>
      <c r="C21" s="47" t="str">
        <f>IF('BON-NS'!C21="","",SUM('BON-NS'!C21,'BSL-NS'!C21,'BWA-NS'!C21,'RFA-NS'!C21))</f>
        <v/>
      </c>
      <c r="D21" s="21" t="str">
        <f t="shared" si="0"/>
        <v/>
      </c>
      <c r="E21" s="71" t="str">
        <f t="shared" si="1"/>
        <v/>
      </c>
      <c r="F21" s="38">
        <f>SUM('BON-NS'!F21,'BSL-NS'!F21,'BWA-NS'!F21,'RFA-NS'!F21)</f>
        <v>37026</v>
      </c>
      <c r="G21" s="47" t="str">
        <f>IF('BON-NS'!G21="","",SUM('BON-NS'!G21,'BSL-NS'!G21,'BWA-NS'!G21,'RFA-NS'!G21))</f>
        <v/>
      </c>
      <c r="H21" s="21" t="str">
        <f t="shared" si="2"/>
        <v/>
      </c>
      <c r="I21" s="71" t="str">
        <f t="shared" si="3"/>
        <v/>
      </c>
      <c r="J21" s="38">
        <f>SUM('BON-NS'!J21,'BSL-NS'!J21,'BWA-NS'!J21,'RFA-NS'!J21)</f>
        <v>6026</v>
      </c>
      <c r="K21" s="47" t="str">
        <f>IF('BON-NS'!K21="","",SUM('BON-NS'!K21,'BSL-NS'!K21,'BWA-NS'!K21,'RFA-NS'!K21))</f>
        <v/>
      </c>
      <c r="L21" s="21" t="str">
        <f t="shared" si="4"/>
        <v/>
      </c>
      <c r="M21" s="71" t="str">
        <f t="shared" si="5"/>
        <v/>
      </c>
      <c r="N21" s="38">
        <f t="shared" si="9"/>
        <v>84940</v>
      </c>
      <c r="O21" s="34" t="str">
        <f t="shared" si="6"/>
        <v/>
      </c>
      <c r="P21" s="21" t="str">
        <f t="shared" si="7"/>
        <v/>
      </c>
      <c r="Q21" s="71" t="str">
        <f t="shared" si="8"/>
        <v/>
      </c>
    </row>
    <row r="22" spans="1:21" ht="11.25" customHeight="1" thickBot="1">
      <c r="A22" s="23" t="s">
        <v>17</v>
      </c>
      <c r="B22" s="39">
        <f>SUM('BON-NS'!B22,'BSL-NS'!B22,'BWA-NS'!B22,'RFA-NS'!B22)</f>
        <v>31667</v>
      </c>
      <c r="C22" s="49" t="str">
        <f>IF('BON-NS'!C22="","",SUM('BON-NS'!C22,'BSL-NS'!C22,'BWA-NS'!C22,'RFA-NS'!C22))</f>
        <v/>
      </c>
      <c r="D22" s="21" t="str">
        <f t="shared" si="0"/>
        <v/>
      </c>
      <c r="E22" s="57" t="str">
        <f t="shared" si="1"/>
        <v/>
      </c>
      <c r="F22" s="39">
        <f>SUM('BON-NS'!F22,'BSL-NS'!F22,'BWA-NS'!F22,'RFA-NS'!F22)</f>
        <v>30019</v>
      </c>
      <c r="G22" s="49" t="str">
        <f>IF('BON-NS'!G22="","",SUM('BON-NS'!G22,'BSL-NS'!G22,'BWA-NS'!G22,'RFA-NS'!G22))</f>
        <v/>
      </c>
      <c r="H22" s="21" t="str">
        <f t="shared" si="2"/>
        <v/>
      </c>
      <c r="I22" s="57" t="str">
        <f t="shared" si="3"/>
        <v/>
      </c>
      <c r="J22" s="39">
        <f>SUM('BON-NS'!J22,'BSL-NS'!J22,'BWA-NS'!J22,'RFA-NS'!J22)</f>
        <v>4959</v>
      </c>
      <c r="K22" s="49" t="str">
        <f>IF('BON-NS'!K22="","",SUM('BON-NS'!K22,'BSL-NS'!K22,'BWA-NS'!K22,'RFA-NS'!K22))</f>
        <v/>
      </c>
      <c r="L22" s="21" t="str">
        <f t="shared" si="4"/>
        <v/>
      </c>
      <c r="M22" s="57" t="str">
        <f t="shared" si="5"/>
        <v/>
      </c>
      <c r="N22" s="39">
        <f t="shared" si="9"/>
        <v>66645</v>
      </c>
      <c r="O22" s="36" t="str">
        <f t="shared" si="6"/>
        <v/>
      </c>
      <c r="P22" s="21" t="str">
        <f t="shared" si="7"/>
        <v/>
      </c>
      <c r="Q22" s="57" t="str">
        <f t="shared" si="8"/>
        <v/>
      </c>
    </row>
    <row r="23" spans="1:21" ht="11.25" customHeight="1" thickBot="1">
      <c r="A23" s="44" t="s">
        <v>3</v>
      </c>
      <c r="B23" s="41">
        <f>IF(C24&lt;7,B24,B25)</f>
        <v>366680</v>
      </c>
      <c r="C23" s="42">
        <f>IF(C11="","",SUM(C11:C22))</f>
        <v>378139</v>
      </c>
      <c r="D23" s="43">
        <f>IF(D11="","",SUM(D11:D22))</f>
        <v>11459</v>
      </c>
      <c r="E23" s="64">
        <f t="shared" si="1"/>
        <v>3.1250681793389329E-2</v>
      </c>
      <c r="F23" s="41">
        <f>IF(G24&lt;7,F24,F25)</f>
        <v>335690</v>
      </c>
      <c r="G23" s="42">
        <f>IF(G11="","",SUM(G11:G22))</f>
        <v>325958</v>
      </c>
      <c r="H23" s="43">
        <f>IF(H11="","",SUM(H11:H22))</f>
        <v>-9732</v>
      </c>
      <c r="I23" s="64">
        <f t="shared" si="3"/>
        <v>-2.8991033393905092E-2</v>
      </c>
      <c r="J23" s="41">
        <f>IF(K24&lt;7,J24,J25)</f>
        <v>53959</v>
      </c>
      <c r="K23" s="42">
        <f>IF(K11="","",SUM(K11:K22))</f>
        <v>55863</v>
      </c>
      <c r="L23" s="43">
        <f>IF(L11="","",SUM(L11:L22))</f>
        <v>1904</v>
      </c>
      <c r="M23" s="64">
        <f t="shared" si="5"/>
        <v>3.5286050519839136E-2</v>
      </c>
      <c r="N23" s="41">
        <f>IF(O24&lt;7,N24,N25)</f>
        <v>756329</v>
      </c>
      <c r="O23" s="42">
        <f>IF(O11="","",SUM(O11:O22))</f>
        <v>759960</v>
      </c>
      <c r="P23" s="43">
        <f>IF(P11="","",SUM(P11:P22))</f>
        <v>3631</v>
      </c>
      <c r="Q23" s="64">
        <f t="shared" si="8"/>
        <v>4.8008208068181972E-3</v>
      </c>
    </row>
    <row r="24" spans="1:21" ht="11.25" customHeight="1">
      <c r="A24" s="88" t="s">
        <v>28</v>
      </c>
      <c r="B24" s="93" t="str">
        <f>IF(C24=1,B11,IF(C24=2,SUM(B11:B12),IF(C24=3,SUM(B11:B13),IF(C24=4,SUM(B11:B14),IF(C24=5,SUM(B11:B15),IF(C24=6,SUM(B11:B16),""))))))</f>
        <v/>
      </c>
      <c r="C24" s="59">
        <f>COUNTIF(C11:C22,"&gt;0")</f>
        <v>9</v>
      </c>
      <c r="D24" s="59"/>
      <c r="E24" s="60"/>
      <c r="F24" s="93" t="str">
        <f>IF(G24=1,F11,IF(G24=2,SUM(F11:F12),IF(G24=3,SUM(F11:F13),IF(G24=4,SUM(F11:F14),IF(G24=5,SUM(F11:F15),IF(G24=6,SUM(F11:F16),""))))))</f>
        <v/>
      </c>
      <c r="G24" s="59">
        <f>COUNTIF(G11:G22,"&gt;0")</f>
        <v>9</v>
      </c>
      <c r="H24" s="59"/>
      <c r="I24" s="60"/>
      <c r="J24" s="93" t="str">
        <f>IF(K24=1,J11,IF(K24=2,SUM(J11:J12),IF(K24=3,SUM(J11:J13),IF(K24=4,SUM(J11:J14),IF(K24=5,SUM(J11:J15),IF(K24=6,SUM(J11:J16),""))))))</f>
        <v/>
      </c>
      <c r="K24" s="59">
        <f>COUNTIF(K11:K22,"&gt;0")</f>
        <v>9</v>
      </c>
      <c r="L24" s="59"/>
      <c r="M24" s="60"/>
      <c r="N24" s="93" t="str">
        <f>IF(O24=1,N11,IF(O24=2,SUM(N11:N12),IF(O24=3,SUM(N11:N13),IF(O24=4,SUM(N11:N14),IF(O24=5,SUM(N11:N15),IF(O24=6,SUM(N11:N16),""))))))</f>
        <v/>
      </c>
      <c r="O24" s="59">
        <f>COUNTIF(O11:O22,"&gt;0")</f>
        <v>9</v>
      </c>
      <c r="P24" s="24"/>
      <c r="Q24" s="25"/>
    </row>
    <row r="25" spans="1:21" ht="11.25" customHeight="1">
      <c r="B25" s="91">
        <f>IF(C24=7,SUM(B11:B17),IF(C24=8,SUM(B11:B18),IF(C24=9,SUM(B11:B19),IF(C24=10,SUM(B11:B20),IF(C24=11,SUM(B11:B21),SUM(B11:B22))))))</f>
        <v>366680</v>
      </c>
      <c r="F25" s="91">
        <f>IF(G24=7,SUM(F11:F17),IF(G24=8,SUM(F11:F18),IF(G24=9,SUM(F11:F19),IF(G24=10,SUM(F11:F20),IF(G24=11,SUM(F11:F21),SUM(F11:F22))))))</f>
        <v>335690</v>
      </c>
      <c r="J25" s="91">
        <f>IF(K24=7,SUM(J11:J17),IF(K24=8,SUM(J11:J18),IF(K24=9,SUM(J11:J19),IF(K24=10,SUM(J11:J20),IF(K24=11,SUM(J11:J21),SUM(J11:J22))))))</f>
        <v>53959</v>
      </c>
      <c r="N25" s="91">
        <f>IF(O24=7,SUM(N11:N17),IF(O24=8,SUM(N11:N18),IF(O24=9,SUM(N11:N19),IF(O24=10,SUM(N11:N20),IF(O24=11,SUM(N11:N21),SUM(N11:N22))))))</f>
        <v>756329</v>
      </c>
    </row>
    <row r="26" spans="1:21" ht="11.25" customHeight="1">
      <c r="A26" s="7"/>
      <c r="B26" s="134" t="s">
        <v>22</v>
      </c>
      <c r="C26" s="135"/>
      <c r="D26" s="135"/>
      <c r="E26" s="135"/>
      <c r="F26" s="9" t="s">
        <v>31</v>
      </c>
    </row>
    <row r="27" spans="1:21" ht="11.25" customHeight="1" thickBot="1">
      <c r="B27" s="136"/>
      <c r="C27" s="136"/>
      <c r="D27" s="136"/>
      <c r="E27" s="136"/>
      <c r="F27" s="2" t="s">
        <v>34</v>
      </c>
    </row>
    <row r="28" spans="1:21" ht="11.25" customHeight="1" thickBot="1">
      <c r="A28" s="26" t="s">
        <v>4</v>
      </c>
      <c r="B28" s="120" t="s">
        <v>0</v>
      </c>
      <c r="C28" s="132"/>
      <c r="D28" s="132"/>
      <c r="E28" s="133"/>
      <c r="F28" s="129" t="s">
        <v>1</v>
      </c>
      <c r="G28" s="130"/>
      <c r="H28" s="130"/>
      <c r="I28" s="131"/>
      <c r="J28" s="137" t="s">
        <v>2</v>
      </c>
      <c r="K28" s="138"/>
      <c r="L28" s="138"/>
      <c r="M28" s="138"/>
      <c r="N28" s="126" t="s">
        <v>3</v>
      </c>
      <c r="O28" s="127"/>
      <c r="P28" s="127"/>
      <c r="Q28" s="128"/>
    </row>
    <row r="29" spans="1:21" ht="11.25" customHeight="1" thickBot="1">
      <c r="A29" s="10"/>
      <c r="B29" s="50">
        <f>$B$9</f>
        <v>2012</v>
      </c>
      <c r="C29" s="51">
        <f>$C$9</f>
        <v>2013</v>
      </c>
      <c r="D29" s="123" t="s">
        <v>5</v>
      </c>
      <c r="E29" s="124"/>
      <c r="F29" s="50">
        <f>$B$9</f>
        <v>2012</v>
      </c>
      <c r="G29" s="51">
        <f>$C$9</f>
        <v>2013</v>
      </c>
      <c r="H29" s="123" t="s">
        <v>5</v>
      </c>
      <c r="I29" s="124"/>
      <c r="J29" s="50">
        <f>$B$9</f>
        <v>2012</v>
      </c>
      <c r="K29" s="51">
        <f>$C$9</f>
        <v>2013</v>
      </c>
      <c r="L29" s="123" t="s">
        <v>5</v>
      </c>
      <c r="M29" s="124"/>
      <c r="N29" s="50">
        <f>$B$9</f>
        <v>2012</v>
      </c>
      <c r="O29" s="51">
        <f>$C$9</f>
        <v>2013</v>
      </c>
      <c r="P29" s="123" t="s">
        <v>5</v>
      </c>
      <c r="Q29" s="125"/>
      <c r="R29" s="86" t="str">
        <f>RIGHT(B9,2)</f>
        <v>12</v>
      </c>
      <c r="S29" s="85" t="str">
        <f>RIGHT(C9,2)</f>
        <v>13</v>
      </c>
    </row>
    <row r="30" spans="1:21" ht="11.25" customHeight="1" thickBot="1">
      <c r="A30" s="87" t="s">
        <v>24</v>
      </c>
      <c r="B30" s="11">
        <f>T43</f>
        <v>189</v>
      </c>
      <c r="C30" s="12">
        <f>U43</f>
        <v>188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6" t="s">
        <v>23</v>
      </c>
      <c r="S30" s="147"/>
    </row>
    <row r="31" spans="1:21" ht="11.25" customHeight="1">
      <c r="A31" s="20" t="s">
        <v>6</v>
      </c>
      <c r="B31" s="78">
        <f t="shared" ref="B31:B42" si="10">IF(C11="","",B11/$R31)</f>
        <v>1683.3636363636363</v>
      </c>
      <c r="C31" s="81">
        <f t="shared" ref="C31:C42" si="11">IF(C11="","",C11/$S31)</f>
        <v>1748.0454545454545</v>
      </c>
      <c r="D31" s="77">
        <f t="shared" ref="D31:D42" si="12">IF(C31="","",C31-B31)</f>
        <v>64.681818181818244</v>
      </c>
      <c r="E31" s="73">
        <f t="shared" ref="E31:E43" si="13">IF(C31="","",(C31-B31)/ABS(B31))</f>
        <v>3.8424150780364028E-2</v>
      </c>
      <c r="F31" s="78">
        <f t="shared" ref="F31:F42" si="14">IF(G11="","",F11/$R31)</f>
        <v>1662.409090909091</v>
      </c>
      <c r="G31" s="81">
        <f t="shared" ref="G31:G42" si="15">IF(G11="","",G11/$S31)</f>
        <v>1670.090909090909</v>
      </c>
      <c r="H31" s="96">
        <f t="shared" ref="H31:H42" si="16">IF(G31="","",G31-F31)</f>
        <v>7.6818181818180165</v>
      </c>
      <c r="I31" s="73">
        <f t="shared" ref="I31:I43" si="17">IF(G31="","",(G31-F31)/ABS(F31))</f>
        <v>4.6208951959094509E-3</v>
      </c>
      <c r="J31" s="78">
        <f t="shared" ref="J31:J42" si="18">IF(K11="","",J11/$R31)</f>
        <v>275.59090909090907</v>
      </c>
      <c r="K31" s="81">
        <f t="shared" ref="K31:K42" si="19">IF(K11="","",K11/$S31)</f>
        <v>281.77272727272725</v>
      </c>
      <c r="L31" s="96">
        <f t="shared" ref="L31:L42" si="20">IF(K31="","",K31-J31)</f>
        <v>6.181818181818187</v>
      </c>
      <c r="M31" s="73">
        <f t="shared" ref="M31:M43" si="21">IF(K31="","",(K31-J31)/ABS(J31))</f>
        <v>2.2431139699818591E-2</v>
      </c>
      <c r="N31" s="78">
        <f t="shared" ref="N31:N42" si="22">IF(O11="","",N11/$R31)</f>
        <v>3621.3636363636365</v>
      </c>
      <c r="O31" s="81">
        <f t="shared" ref="O31:O42" si="23">IF(O11="","",O11/$S31)</f>
        <v>3699.909090909091</v>
      </c>
      <c r="P31" s="96">
        <f t="shared" ref="P31:P42" si="24">IF(O31="","",O31-N31)</f>
        <v>78.545454545454504</v>
      </c>
      <c r="Q31" s="71">
        <f t="shared" ref="Q31:Q43" si="25">IF(O31="","",(O31-N31)/ABS(N31))</f>
        <v>2.1689469059871961E-2</v>
      </c>
      <c r="R31" s="67">
        <v>22</v>
      </c>
      <c r="S31" s="68">
        <v>22</v>
      </c>
      <c r="T31" s="92">
        <f>IF(OR(N31="",N31=0),"",R31)</f>
        <v>22</v>
      </c>
      <c r="U31" s="92">
        <f>IF(OR(O31="",O31=0),"",S31)</f>
        <v>22</v>
      </c>
    </row>
    <row r="32" spans="1:21" ht="11.25" customHeight="1">
      <c r="A32" s="20" t="s">
        <v>7</v>
      </c>
      <c r="B32" s="78">
        <f t="shared" si="10"/>
        <v>1821.6190476190477</v>
      </c>
      <c r="C32" s="81">
        <f t="shared" si="11"/>
        <v>1948.35</v>
      </c>
      <c r="D32" s="77">
        <f t="shared" si="12"/>
        <v>126.7309523809522</v>
      </c>
      <c r="E32" s="73">
        <f t="shared" si="13"/>
        <v>6.9570502431118217E-2</v>
      </c>
      <c r="F32" s="78">
        <f t="shared" si="14"/>
        <v>1914.0952380952381</v>
      </c>
      <c r="G32" s="81">
        <f t="shared" si="15"/>
        <v>1767.35</v>
      </c>
      <c r="H32" s="96">
        <f t="shared" si="16"/>
        <v>-146.74523809523816</v>
      </c>
      <c r="I32" s="73">
        <f t="shared" si="17"/>
        <v>-7.6665588615782695E-2</v>
      </c>
      <c r="J32" s="78">
        <f t="shared" si="18"/>
        <v>277.8095238095238</v>
      </c>
      <c r="K32" s="81">
        <f t="shared" si="19"/>
        <v>262.7</v>
      </c>
      <c r="L32" s="96">
        <f t="shared" si="20"/>
        <v>-15.109523809523807</v>
      </c>
      <c r="M32" s="73">
        <f t="shared" si="21"/>
        <v>-5.4388069934864579E-2</v>
      </c>
      <c r="N32" s="78">
        <f t="shared" si="22"/>
        <v>4013.5238095238096</v>
      </c>
      <c r="O32" s="81">
        <f t="shared" si="23"/>
        <v>3978.4</v>
      </c>
      <c r="P32" s="96">
        <f t="shared" si="24"/>
        <v>-35.123809523809541</v>
      </c>
      <c r="Q32" s="71">
        <f t="shared" si="25"/>
        <v>-8.7513644345308759E-3</v>
      </c>
      <c r="R32" s="67">
        <v>21</v>
      </c>
      <c r="S32" s="68">
        <v>20</v>
      </c>
      <c r="T32" s="92">
        <f t="shared" ref="T32:U42" si="26">IF(OR(N32="",N32=0),"",R32)</f>
        <v>21</v>
      </c>
      <c r="U32" s="92">
        <f t="shared" si="26"/>
        <v>20</v>
      </c>
    </row>
    <row r="33" spans="1:21" ht="11.25" customHeight="1">
      <c r="A33" s="20" t="s">
        <v>8</v>
      </c>
      <c r="B33" s="79">
        <f t="shared" si="10"/>
        <v>2023.4545454545455</v>
      </c>
      <c r="C33" s="82">
        <f t="shared" si="11"/>
        <v>2117.75</v>
      </c>
      <c r="D33" s="84">
        <f t="shared" si="12"/>
        <v>94.295454545454504</v>
      </c>
      <c r="E33" s="74">
        <f t="shared" si="13"/>
        <v>4.660122203252761E-2</v>
      </c>
      <c r="F33" s="79">
        <f t="shared" si="14"/>
        <v>1974.590909090909</v>
      </c>
      <c r="G33" s="82">
        <f t="shared" si="15"/>
        <v>1890.4</v>
      </c>
      <c r="H33" s="97">
        <f t="shared" si="16"/>
        <v>-84.190909090908917</v>
      </c>
      <c r="I33" s="74">
        <f t="shared" si="17"/>
        <v>-4.2637140029004768E-2</v>
      </c>
      <c r="J33" s="79">
        <f t="shared" si="18"/>
        <v>326.90909090909093</v>
      </c>
      <c r="K33" s="82">
        <f t="shared" si="19"/>
        <v>261.85000000000002</v>
      </c>
      <c r="L33" s="97">
        <f t="shared" si="20"/>
        <v>-65.059090909090912</v>
      </c>
      <c r="M33" s="74">
        <f t="shared" si="21"/>
        <v>-0.19901279199110122</v>
      </c>
      <c r="N33" s="79">
        <f t="shared" si="22"/>
        <v>4324.954545454545</v>
      </c>
      <c r="O33" s="82">
        <f t="shared" si="23"/>
        <v>4270</v>
      </c>
      <c r="P33" s="97">
        <f t="shared" si="24"/>
        <v>-54.954545454545041</v>
      </c>
      <c r="Q33" s="72">
        <f t="shared" si="25"/>
        <v>-1.2706386824874577E-2</v>
      </c>
      <c r="R33" s="69">
        <v>22</v>
      </c>
      <c r="S33" s="101">
        <v>20</v>
      </c>
      <c r="T33" s="92">
        <f t="shared" si="26"/>
        <v>22</v>
      </c>
      <c r="U33" s="92">
        <f t="shared" si="26"/>
        <v>20</v>
      </c>
    </row>
    <row r="34" spans="1:21" ht="11.25" customHeight="1">
      <c r="A34" s="20" t="s">
        <v>9</v>
      </c>
      <c r="B34" s="78">
        <f t="shared" si="10"/>
        <v>2103.6842105263158</v>
      </c>
      <c r="C34" s="81">
        <f t="shared" si="11"/>
        <v>2226.8095238095239</v>
      </c>
      <c r="D34" s="77">
        <f t="shared" si="12"/>
        <v>123.12531328320802</v>
      </c>
      <c r="E34" s="73">
        <f t="shared" si="13"/>
        <v>5.8528420124617266E-2</v>
      </c>
      <c r="F34" s="78">
        <f t="shared" si="14"/>
        <v>1825.3684210526317</v>
      </c>
      <c r="G34" s="81">
        <f t="shared" si="15"/>
        <v>1806.952380952381</v>
      </c>
      <c r="H34" s="96">
        <f t="shared" si="16"/>
        <v>-18.416040100250711</v>
      </c>
      <c r="I34" s="73">
        <f t="shared" si="17"/>
        <v>-1.0088944175790425E-2</v>
      </c>
      <c r="J34" s="78">
        <f t="shared" si="18"/>
        <v>319.26315789473682</v>
      </c>
      <c r="K34" s="81">
        <f t="shared" si="19"/>
        <v>297.52380952380952</v>
      </c>
      <c r="L34" s="96">
        <f t="shared" si="20"/>
        <v>-21.739348370927303</v>
      </c>
      <c r="M34" s="73">
        <f t="shared" si="21"/>
        <v>-6.8092255035875168E-2</v>
      </c>
      <c r="N34" s="78">
        <f t="shared" si="22"/>
        <v>4248.3157894736842</v>
      </c>
      <c r="O34" s="81">
        <f t="shared" si="23"/>
        <v>4331.2857142857147</v>
      </c>
      <c r="P34" s="96">
        <f t="shared" si="24"/>
        <v>82.969924812030513</v>
      </c>
      <c r="Q34" s="71">
        <f t="shared" si="25"/>
        <v>1.9530074722225274E-2</v>
      </c>
      <c r="R34" s="67">
        <v>19</v>
      </c>
      <c r="S34" s="68">
        <v>21</v>
      </c>
      <c r="T34" s="92">
        <f t="shared" si="26"/>
        <v>19</v>
      </c>
      <c r="U34" s="92">
        <f t="shared" si="26"/>
        <v>21</v>
      </c>
    </row>
    <row r="35" spans="1:21" ht="11.25" customHeight="1">
      <c r="A35" s="20" t="s">
        <v>10</v>
      </c>
      <c r="B35" s="78">
        <f t="shared" si="10"/>
        <v>2085.4</v>
      </c>
      <c r="C35" s="81">
        <f t="shared" si="11"/>
        <v>2053.85</v>
      </c>
      <c r="D35" s="77">
        <f t="shared" si="12"/>
        <v>-31.550000000000182</v>
      </c>
      <c r="E35" s="73">
        <f t="shared" si="13"/>
        <v>-1.5128992039896509E-2</v>
      </c>
      <c r="F35" s="78">
        <f t="shared" si="14"/>
        <v>1858.85</v>
      </c>
      <c r="G35" s="81">
        <f t="shared" si="15"/>
        <v>1844.45</v>
      </c>
      <c r="H35" s="96">
        <f t="shared" si="16"/>
        <v>-14.399999999999864</v>
      </c>
      <c r="I35" s="73">
        <f t="shared" si="17"/>
        <v>-7.7467251257497182E-3</v>
      </c>
      <c r="J35" s="78">
        <f t="shared" si="18"/>
        <v>292.45</v>
      </c>
      <c r="K35" s="81">
        <f t="shared" si="19"/>
        <v>322.10000000000002</v>
      </c>
      <c r="L35" s="96">
        <f t="shared" si="20"/>
        <v>29.650000000000034</v>
      </c>
      <c r="M35" s="73">
        <f t="shared" si="21"/>
        <v>0.10138485211147216</v>
      </c>
      <c r="N35" s="78">
        <f t="shared" si="22"/>
        <v>4236.7</v>
      </c>
      <c r="O35" s="81">
        <f t="shared" si="23"/>
        <v>4220.3999999999996</v>
      </c>
      <c r="P35" s="96">
        <f t="shared" si="24"/>
        <v>-16.300000000000182</v>
      </c>
      <c r="Q35" s="71">
        <f t="shared" si="25"/>
        <v>-3.8473340099606256E-3</v>
      </c>
      <c r="R35" s="67">
        <v>20</v>
      </c>
      <c r="S35" s="68">
        <v>20</v>
      </c>
      <c r="T35" s="92">
        <f t="shared" si="26"/>
        <v>20</v>
      </c>
      <c r="U35" s="92">
        <f t="shared" si="26"/>
        <v>20</v>
      </c>
    </row>
    <row r="36" spans="1:21" ht="11.25" customHeight="1">
      <c r="A36" s="20" t="s">
        <v>11</v>
      </c>
      <c r="B36" s="79">
        <f t="shared" si="10"/>
        <v>2039.952380952381</v>
      </c>
      <c r="C36" s="82">
        <f t="shared" si="11"/>
        <v>2119.8000000000002</v>
      </c>
      <c r="D36" s="84">
        <f t="shared" si="12"/>
        <v>79.847619047619219</v>
      </c>
      <c r="E36" s="74">
        <f t="shared" si="13"/>
        <v>3.9141903405775197E-2</v>
      </c>
      <c r="F36" s="79">
        <f t="shared" si="14"/>
        <v>1867.3333333333333</v>
      </c>
      <c r="G36" s="82">
        <f t="shared" si="15"/>
        <v>1829.6</v>
      </c>
      <c r="H36" s="97">
        <f t="shared" si="16"/>
        <v>-37.733333333333348</v>
      </c>
      <c r="I36" s="74">
        <f t="shared" si="17"/>
        <v>-2.0207068903962878E-2</v>
      </c>
      <c r="J36" s="79">
        <f t="shared" si="18"/>
        <v>257.33333333333331</v>
      </c>
      <c r="K36" s="82">
        <f t="shared" si="19"/>
        <v>299.95</v>
      </c>
      <c r="L36" s="97">
        <f t="shared" si="20"/>
        <v>42.616666666666674</v>
      </c>
      <c r="M36" s="74">
        <f t="shared" si="21"/>
        <v>0.16560880829015548</v>
      </c>
      <c r="N36" s="79">
        <f t="shared" si="22"/>
        <v>4164.6190476190477</v>
      </c>
      <c r="O36" s="82">
        <f t="shared" si="23"/>
        <v>4249.3500000000004</v>
      </c>
      <c r="P36" s="97">
        <f t="shared" si="24"/>
        <v>84.730952380952658</v>
      </c>
      <c r="Q36" s="72">
        <f t="shared" si="25"/>
        <v>2.0345426895502998E-2</v>
      </c>
      <c r="R36" s="69">
        <v>21</v>
      </c>
      <c r="S36" s="101">
        <v>20</v>
      </c>
      <c r="T36" s="92">
        <f t="shared" si="26"/>
        <v>21</v>
      </c>
      <c r="U36" s="92">
        <f t="shared" si="26"/>
        <v>20</v>
      </c>
    </row>
    <row r="37" spans="1:21" ht="11.25" customHeight="1">
      <c r="A37" s="20" t="s">
        <v>12</v>
      </c>
      <c r="B37" s="78">
        <f t="shared" si="10"/>
        <v>1919.7272727272727</v>
      </c>
      <c r="C37" s="81">
        <f t="shared" si="11"/>
        <v>1991.695652173913</v>
      </c>
      <c r="D37" s="77">
        <f t="shared" si="12"/>
        <v>71.968379446640256</v>
      </c>
      <c r="E37" s="73">
        <f t="shared" si="13"/>
        <v>3.7488856083394556E-2</v>
      </c>
      <c r="F37" s="78">
        <f t="shared" si="14"/>
        <v>1672.409090909091</v>
      </c>
      <c r="G37" s="81">
        <f t="shared" si="15"/>
        <v>1655.0434782608695</v>
      </c>
      <c r="H37" s="96">
        <f t="shared" si="16"/>
        <v>-17.365612648221486</v>
      </c>
      <c r="I37" s="73">
        <f t="shared" si="17"/>
        <v>-1.0383591396756793E-2</v>
      </c>
      <c r="J37" s="78">
        <f t="shared" si="18"/>
        <v>277</v>
      </c>
      <c r="K37" s="81">
        <f t="shared" si="19"/>
        <v>316.43478260869563</v>
      </c>
      <c r="L37" s="96">
        <f t="shared" si="20"/>
        <v>39.434782608695627</v>
      </c>
      <c r="M37" s="73">
        <f t="shared" si="21"/>
        <v>0.14236383613247519</v>
      </c>
      <c r="N37" s="78">
        <f t="shared" si="22"/>
        <v>3869.1363636363635</v>
      </c>
      <c r="O37" s="81">
        <f t="shared" si="23"/>
        <v>3963.1739130434785</v>
      </c>
      <c r="P37" s="96">
        <f t="shared" si="24"/>
        <v>94.037549407114966</v>
      </c>
      <c r="Q37" s="71">
        <f t="shared" si="25"/>
        <v>2.4304532218330722E-2</v>
      </c>
      <c r="R37" s="67">
        <v>22</v>
      </c>
      <c r="S37" s="68">
        <v>23</v>
      </c>
      <c r="T37" s="92">
        <f t="shared" si="26"/>
        <v>22</v>
      </c>
      <c r="U37" s="92">
        <f t="shared" si="26"/>
        <v>23</v>
      </c>
    </row>
    <row r="38" spans="1:21" ht="11.25" customHeight="1">
      <c r="A38" s="20" t="s">
        <v>13</v>
      </c>
      <c r="B38" s="78">
        <f t="shared" si="10"/>
        <v>1776.8636363636363</v>
      </c>
      <c r="C38" s="81">
        <f t="shared" si="11"/>
        <v>1861.1428571428571</v>
      </c>
      <c r="D38" s="77">
        <f t="shared" si="12"/>
        <v>84.27922077922085</v>
      </c>
      <c r="E38" s="73">
        <f t="shared" si="13"/>
        <v>4.74314511560937E-2</v>
      </c>
      <c r="F38" s="78">
        <f t="shared" si="14"/>
        <v>1408.909090909091</v>
      </c>
      <c r="G38" s="81">
        <f t="shared" si="15"/>
        <v>1358.7142857142858</v>
      </c>
      <c r="H38" s="96">
        <f t="shared" si="16"/>
        <v>-50.194805194805213</v>
      </c>
      <c r="I38" s="73">
        <f t="shared" si="17"/>
        <v>-3.5626716811385808E-2</v>
      </c>
      <c r="J38" s="78">
        <f t="shared" si="18"/>
        <v>266.04545454545456</v>
      </c>
      <c r="K38" s="81">
        <f t="shared" si="19"/>
        <v>327.33333333333331</v>
      </c>
      <c r="L38" s="96">
        <f t="shared" si="20"/>
        <v>61.287878787878753</v>
      </c>
      <c r="M38" s="73">
        <f t="shared" si="21"/>
        <v>0.23036619397459979</v>
      </c>
      <c r="N38" s="78">
        <f t="shared" si="22"/>
        <v>3451.818181818182</v>
      </c>
      <c r="O38" s="81">
        <f t="shared" si="23"/>
        <v>3547.1904761904761</v>
      </c>
      <c r="P38" s="96">
        <f t="shared" si="24"/>
        <v>95.372294372294164</v>
      </c>
      <c r="Q38" s="71">
        <f t="shared" si="25"/>
        <v>2.7629582251652244E-2</v>
      </c>
      <c r="R38" s="67">
        <v>22</v>
      </c>
      <c r="S38" s="68">
        <v>21</v>
      </c>
      <c r="T38" s="92">
        <f t="shared" si="26"/>
        <v>22</v>
      </c>
      <c r="U38" s="92">
        <f t="shared" si="26"/>
        <v>21</v>
      </c>
    </row>
    <row r="39" spans="1:21" ht="11.25" customHeight="1">
      <c r="A39" s="20" t="s">
        <v>14</v>
      </c>
      <c r="B39" s="79">
        <f t="shared" si="10"/>
        <v>2051.6999999999998</v>
      </c>
      <c r="C39" s="82">
        <f t="shared" si="11"/>
        <v>2058.6190476190477</v>
      </c>
      <c r="D39" s="84">
        <f t="shared" si="12"/>
        <v>6.9190476190478876</v>
      </c>
      <c r="E39" s="74">
        <f t="shared" si="13"/>
        <v>3.37234859825895E-3</v>
      </c>
      <c r="F39" s="79">
        <f t="shared" si="14"/>
        <v>1830.9</v>
      </c>
      <c r="G39" s="82">
        <f t="shared" si="15"/>
        <v>1811.1904761904761</v>
      </c>
      <c r="H39" s="97">
        <f t="shared" si="16"/>
        <v>-19.709523809523944</v>
      </c>
      <c r="I39" s="74">
        <f t="shared" si="17"/>
        <v>-1.0764937358416049E-2</v>
      </c>
      <c r="J39" s="79">
        <f t="shared" si="18"/>
        <v>280.2</v>
      </c>
      <c r="K39" s="82">
        <f t="shared" si="19"/>
        <v>301.52380952380952</v>
      </c>
      <c r="L39" s="97">
        <f t="shared" si="20"/>
        <v>21.32380952380953</v>
      </c>
      <c r="M39" s="74">
        <f t="shared" si="21"/>
        <v>7.6102103939363064E-2</v>
      </c>
      <c r="N39" s="79">
        <f t="shared" si="22"/>
        <v>4162.8</v>
      </c>
      <c r="O39" s="82">
        <f t="shared" si="23"/>
        <v>4171.333333333333</v>
      </c>
      <c r="P39" s="97">
        <f t="shared" si="24"/>
        <v>8.5333333333328483</v>
      </c>
      <c r="Q39" s="72">
        <f t="shared" si="25"/>
        <v>2.0499023093429537E-3</v>
      </c>
      <c r="R39" s="69">
        <v>20</v>
      </c>
      <c r="S39" s="101">
        <v>21</v>
      </c>
      <c r="T39" s="92">
        <f t="shared" si="26"/>
        <v>20</v>
      </c>
      <c r="U39" s="92">
        <f t="shared" si="26"/>
        <v>21</v>
      </c>
    </row>
    <row r="40" spans="1:21" ht="11.25" customHeight="1">
      <c r="A40" s="20" t="s">
        <v>15</v>
      </c>
      <c r="B40" s="78" t="str">
        <f t="shared" si="10"/>
        <v/>
      </c>
      <c r="C40" s="81" t="str">
        <f t="shared" si="11"/>
        <v/>
      </c>
      <c r="D40" s="77" t="str">
        <f t="shared" si="12"/>
        <v/>
      </c>
      <c r="E40" s="73" t="str">
        <f t="shared" si="13"/>
        <v/>
      </c>
      <c r="F40" s="78" t="str">
        <f t="shared" si="14"/>
        <v/>
      </c>
      <c r="G40" s="81" t="str">
        <f t="shared" si="15"/>
        <v/>
      </c>
      <c r="H40" s="96" t="str">
        <f t="shared" si="16"/>
        <v/>
      </c>
      <c r="I40" s="73" t="str">
        <f t="shared" si="17"/>
        <v/>
      </c>
      <c r="J40" s="78" t="str">
        <f t="shared" si="18"/>
        <v/>
      </c>
      <c r="K40" s="81" t="str">
        <f t="shared" si="19"/>
        <v/>
      </c>
      <c r="L40" s="96" t="str">
        <f t="shared" si="20"/>
        <v/>
      </c>
      <c r="M40" s="73" t="str">
        <f t="shared" si="21"/>
        <v/>
      </c>
      <c r="N40" s="78" t="str">
        <f t="shared" si="22"/>
        <v/>
      </c>
      <c r="O40" s="81" t="str">
        <f t="shared" si="23"/>
        <v/>
      </c>
      <c r="P40" s="96" t="str">
        <f t="shared" si="24"/>
        <v/>
      </c>
      <c r="Q40" s="71" t="str">
        <f t="shared" si="25"/>
        <v/>
      </c>
      <c r="R40" s="67">
        <v>23</v>
      </c>
      <c r="S40" s="68">
        <v>23</v>
      </c>
      <c r="T40" s="92" t="str">
        <f t="shared" si="26"/>
        <v/>
      </c>
      <c r="U40" s="92" t="str">
        <f t="shared" si="26"/>
        <v/>
      </c>
    </row>
    <row r="41" spans="1:21" ht="11.25" customHeight="1">
      <c r="A41" s="20" t="s">
        <v>16</v>
      </c>
      <c r="B41" s="78" t="str">
        <f t="shared" si="10"/>
        <v/>
      </c>
      <c r="C41" s="81" t="str">
        <f t="shared" si="11"/>
        <v/>
      </c>
      <c r="D41" s="77" t="str">
        <f t="shared" si="12"/>
        <v/>
      </c>
      <c r="E41" s="73" t="str">
        <f t="shared" si="13"/>
        <v/>
      </c>
      <c r="F41" s="78" t="str">
        <f t="shared" si="14"/>
        <v/>
      </c>
      <c r="G41" s="81" t="str">
        <f t="shared" si="15"/>
        <v/>
      </c>
      <c r="H41" s="96" t="str">
        <f t="shared" si="16"/>
        <v/>
      </c>
      <c r="I41" s="73" t="str">
        <f t="shared" si="17"/>
        <v/>
      </c>
      <c r="J41" s="78" t="str">
        <f t="shared" si="18"/>
        <v/>
      </c>
      <c r="K41" s="81" t="str">
        <f t="shared" si="19"/>
        <v/>
      </c>
      <c r="L41" s="96" t="str">
        <f t="shared" si="20"/>
        <v/>
      </c>
      <c r="M41" s="73" t="str">
        <f t="shared" si="21"/>
        <v/>
      </c>
      <c r="N41" s="78" t="str">
        <f t="shared" si="22"/>
        <v/>
      </c>
      <c r="O41" s="81" t="str">
        <f t="shared" si="23"/>
        <v/>
      </c>
      <c r="P41" s="96" t="str">
        <f t="shared" si="24"/>
        <v/>
      </c>
      <c r="Q41" s="71" t="str">
        <f t="shared" si="25"/>
        <v/>
      </c>
      <c r="R41" s="67">
        <v>22</v>
      </c>
      <c r="S41" s="68">
        <v>21</v>
      </c>
      <c r="T41" s="92" t="str">
        <f t="shared" si="26"/>
        <v/>
      </c>
      <c r="U41" s="92" t="str">
        <f t="shared" si="26"/>
        <v/>
      </c>
    </row>
    <row r="42" spans="1:21" ht="11.25" customHeight="1" thickBot="1">
      <c r="A42" s="20" t="s">
        <v>17</v>
      </c>
      <c r="B42" s="78" t="str">
        <f t="shared" si="10"/>
        <v/>
      </c>
      <c r="C42" s="81" t="str">
        <f t="shared" si="11"/>
        <v/>
      </c>
      <c r="D42" s="77" t="str">
        <f t="shared" si="12"/>
        <v/>
      </c>
      <c r="E42" s="73" t="str">
        <f t="shared" si="13"/>
        <v/>
      </c>
      <c r="F42" s="78" t="str">
        <f t="shared" si="14"/>
        <v/>
      </c>
      <c r="G42" s="81" t="str">
        <f t="shared" si="15"/>
        <v/>
      </c>
      <c r="H42" s="96" t="str">
        <f t="shared" si="16"/>
        <v/>
      </c>
      <c r="I42" s="73" t="str">
        <f t="shared" si="17"/>
        <v/>
      </c>
      <c r="J42" s="78" t="str">
        <f t="shared" si="18"/>
        <v/>
      </c>
      <c r="K42" s="81" t="str">
        <f t="shared" si="19"/>
        <v/>
      </c>
      <c r="L42" s="96" t="str">
        <f t="shared" si="20"/>
        <v/>
      </c>
      <c r="M42" s="73" t="str">
        <f t="shared" si="21"/>
        <v/>
      </c>
      <c r="N42" s="78" t="str">
        <f t="shared" si="22"/>
        <v/>
      </c>
      <c r="O42" s="81" t="str">
        <f t="shared" si="23"/>
        <v/>
      </c>
      <c r="P42" s="96" t="str">
        <f t="shared" si="24"/>
        <v/>
      </c>
      <c r="Q42" s="71" t="str">
        <f t="shared" si="25"/>
        <v/>
      </c>
      <c r="R42" s="67">
        <v>19</v>
      </c>
      <c r="S42" s="68">
        <v>20</v>
      </c>
      <c r="T42" s="92" t="str">
        <f t="shared" si="26"/>
        <v/>
      </c>
      <c r="U42" s="92" t="str">
        <f t="shared" si="26"/>
        <v/>
      </c>
    </row>
    <row r="43" spans="1:21" ht="11.25" customHeight="1" thickBot="1">
      <c r="A43" s="90" t="s">
        <v>29</v>
      </c>
      <c r="B43" s="80">
        <f>AVERAGE(B31:B42)</f>
        <v>1945.0849700007593</v>
      </c>
      <c r="C43" s="83">
        <f>IF(C11="","",AVERAGE(C31:C42))</f>
        <v>2014.0069483656439</v>
      </c>
      <c r="D43" s="75">
        <f>IF(D31="","",AVERAGE(D31:D42))</f>
        <v>68.921978364884552</v>
      </c>
      <c r="E43" s="65">
        <f t="shared" si="13"/>
        <v>3.5433916475565423E-2</v>
      </c>
      <c r="F43" s="80">
        <f>AVERAGE(F31:F42)</f>
        <v>1779.4294638110432</v>
      </c>
      <c r="G43" s="83">
        <f>IF(G11="","",AVERAGE(G31:G42))</f>
        <v>1737.0879478009915</v>
      </c>
      <c r="H43" s="98">
        <f>IF(H31="","",AVERAGE(H31:H42))</f>
        <v>-42.341516010051514</v>
      </c>
      <c r="I43" s="65">
        <f t="shared" si="17"/>
        <v>-2.3794995458470119E-2</v>
      </c>
      <c r="J43" s="80">
        <f>AVERAGE(J31:J42)</f>
        <v>285.84460773144986</v>
      </c>
      <c r="K43" s="83">
        <f>IF(K11="","",AVERAGE(K31:K42))</f>
        <v>296.79871802915284</v>
      </c>
      <c r="L43" s="98">
        <f>IF(L31="","",AVERAGE(L31:L42))</f>
        <v>10.954110297702975</v>
      </c>
      <c r="M43" s="65">
        <f t="shared" si="21"/>
        <v>3.8321906383465297E-2</v>
      </c>
      <c r="N43" s="80">
        <f>AVERAGE(N31:N42)</f>
        <v>4010.3590415432523</v>
      </c>
      <c r="O43" s="83">
        <f>IF(O11="","",AVERAGE(O31:O42))</f>
        <v>4047.8936141957884</v>
      </c>
      <c r="P43" s="98">
        <f>IF(P31="","",AVERAGE(P31:P42))</f>
        <v>37.534572652536099</v>
      </c>
      <c r="Q43" s="66">
        <f t="shared" si="25"/>
        <v>9.3594045480008131E-3</v>
      </c>
      <c r="R43" s="70">
        <f>SUM(R31:R42)</f>
        <v>253</v>
      </c>
      <c r="S43" s="102">
        <f>SUM(S31:S42)</f>
        <v>252</v>
      </c>
      <c r="T43" s="92">
        <f>SUM(T31:T42)</f>
        <v>189</v>
      </c>
      <c r="U43" s="91">
        <f>SUM(U31:U42)</f>
        <v>188</v>
      </c>
    </row>
    <row r="44" spans="1:21" s="30" customFormat="1" ht="11.25" customHeight="1">
      <c r="A44" s="89" t="s">
        <v>28</v>
      </c>
      <c r="B44" s="37"/>
      <c r="C44" s="61">
        <f>COUNTIF(C31:C42,"&gt;0")</f>
        <v>9</v>
      </c>
      <c r="D44" s="62"/>
      <c r="E44" s="63"/>
      <c r="F44" s="61"/>
      <c r="G44" s="61">
        <f>COUNTIF(G31:G42,"&gt;0")</f>
        <v>9</v>
      </c>
      <c r="H44" s="62"/>
      <c r="I44" s="63"/>
      <c r="J44" s="61"/>
      <c r="K44" s="61">
        <f>COUNTIF(K31:K42,"&gt;0")</f>
        <v>9</v>
      </c>
      <c r="L44" s="62"/>
      <c r="M44" s="63"/>
      <c r="N44" s="61"/>
      <c r="O44" s="61">
        <f>COUNTIF(O31:O42,"&gt;0")</f>
        <v>9</v>
      </c>
      <c r="P44" s="28"/>
      <c r="Q44" s="58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2">
    <mergeCell ref="R30:S30"/>
    <mergeCell ref="P29:Q29"/>
    <mergeCell ref="P9:Q9"/>
    <mergeCell ref="F28:I28"/>
    <mergeCell ref="J28:M28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  <mergeCell ref="B26:E27"/>
  </mergeCells>
  <phoneticPr fontId="0" type="noConversion"/>
  <conditionalFormatting sqref="S31:S43">
    <cfRule type="expression" dxfId="17" priority="3" stopIfTrue="1">
      <formula>S31&lt;$R31</formula>
    </cfRule>
    <cfRule type="expression" dxfId="16" priority="4" stopIfTrue="1">
      <formula>S31&gt;$R31</formula>
    </cfRule>
  </conditionalFormatting>
  <conditionalFormatting sqref="B14:B21 F12:F22 J12:J22 N12:N22">
    <cfRule type="expression" dxfId="15" priority="5" stopIfTrue="1">
      <formula>C12=""</formula>
    </cfRule>
  </conditionalFormatting>
  <conditionalFormatting sqref="B22 B12:B13">
    <cfRule type="expression" dxfId="14" priority="6" stopIfTrue="1">
      <formula>C12=""</formula>
    </cfRule>
  </conditionalFormatting>
  <conditionalFormatting sqref="S31:S42">
    <cfRule type="expression" dxfId="13" priority="1" stopIfTrue="1">
      <formula>S31&lt;$R31</formula>
    </cfRule>
    <cfRule type="expression" dxfId="1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Säulendiagramm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2013-10-15T06:07:07Z</cp:lastPrinted>
  <dcterms:created xsi:type="dcterms:W3CDTF">2001-04-11T08:03:28Z</dcterms:created>
  <dcterms:modified xsi:type="dcterms:W3CDTF">2013-10-15T08:27:55Z</dcterms:modified>
</cp:coreProperties>
</file>