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A_BTR1\GA Betrieb\004 Organisation_Abwesenheiten\Sekretariat und Empfang S 1\Statistiken MATTHUSEN\Logistikcluster 2017\"/>
    </mc:Choice>
  </mc:AlternateContent>
  <bookViews>
    <workbookView xWindow="12480" yWindow="480" windowWidth="15585" windowHeight="11760" tabRatio="757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'BON-NS'!$A$1:$S$43</definedName>
    <definedName name="_xlnm.Print_Area" localSheetId="1">'BON-SN'!$A$1:$S$43</definedName>
    <definedName name="_xlnm.Print_Area" localSheetId="2">'BSL-NS'!$A$1:$S$43</definedName>
    <definedName name="_xlnm.Print_Area" localSheetId="3">'BSL-SN'!$A$1:$S$43</definedName>
    <definedName name="_xlnm.Print_Area" localSheetId="4">'BWA-NS'!$A$1:$S$43</definedName>
    <definedName name="_xlnm.Print_Area" localSheetId="5">'BWA-SN'!$A$1:$S$43</definedName>
    <definedName name="_xlnm.Print_Area" localSheetId="6">'RFA-NS'!$A$1:$S$43</definedName>
    <definedName name="_xlnm.Print_Area" localSheetId="7">'RFA-SN'!$A$1:$S$43</definedName>
    <definedName name="_xlnm.Print_Area" localSheetId="10">'TTL-FZ'!$A$1:$S$44</definedName>
    <definedName name="_xlnm.Print_Area" localSheetId="8">'TTL-NS'!$A$1:$S$43</definedName>
    <definedName name="_xlnm.Print_Area" localSheetId="9">'TTL-SN'!$A$1:$S$43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5" l="1"/>
  <c r="D11" i="15"/>
  <c r="E11" i="15" s="1"/>
  <c r="S44" i="22" l="1"/>
  <c r="S43" i="21"/>
  <c r="S43" i="20"/>
  <c r="S43" i="26"/>
  <c r="S43" i="25"/>
  <c r="S43" i="18"/>
  <c r="S43" i="17"/>
  <c r="S43" i="28"/>
  <c r="S43" i="15"/>
  <c r="S43" i="16"/>
  <c r="R43" i="28" l="1"/>
  <c r="B10" i="28" s="1"/>
  <c r="R43" i="15"/>
  <c r="B10" i="15" s="1"/>
  <c r="R43" i="16"/>
  <c r="R43" i="17"/>
  <c r="B10" i="17" s="1"/>
  <c r="R43" i="18"/>
  <c r="R43" i="25"/>
  <c r="B10" i="25" s="1"/>
  <c r="R43" i="26"/>
  <c r="B10" i="26" s="1"/>
  <c r="R43" i="27"/>
  <c r="B10" i="27" s="1"/>
  <c r="B24" i="25"/>
  <c r="B25" i="25"/>
  <c r="O22" i="26"/>
  <c r="O42" i="26" s="1"/>
  <c r="U42" i="26" s="1"/>
  <c r="O21" i="26"/>
  <c r="O41" i="26" s="1"/>
  <c r="O20" i="26"/>
  <c r="O40" i="26" s="1"/>
  <c r="U40" i="26" s="1"/>
  <c r="O19" i="26"/>
  <c r="O39" i="26" s="1"/>
  <c r="O18" i="26"/>
  <c r="O38" i="26" s="1"/>
  <c r="O17" i="26"/>
  <c r="O37" i="26" s="1"/>
  <c r="O16" i="26"/>
  <c r="O36" i="26" s="1"/>
  <c r="O15" i="26"/>
  <c r="O35" i="26" s="1"/>
  <c r="U35" i="26" s="1"/>
  <c r="O14" i="26"/>
  <c r="O34" i="26" s="1"/>
  <c r="U34" i="26" s="1"/>
  <c r="O13" i="26"/>
  <c r="O33" i="26" s="1"/>
  <c r="U33" i="26" s="1"/>
  <c r="O12" i="26"/>
  <c r="O32" i="26" s="1"/>
  <c r="U32" i="26" s="1"/>
  <c r="O11" i="26"/>
  <c r="O31" i="26" s="1"/>
  <c r="U31" i="26" s="1"/>
  <c r="N22" i="26"/>
  <c r="N42" i="26" s="1"/>
  <c r="N21" i="26"/>
  <c r="N20" i="26"/>
  <c r="N40" i="26" s="1"/>
  <c r="N19" i="26"/>
  <c r="N18" i="26"/>
  <c r="P18" i="26" s="1"/>
  <c r="Q18" i="26" s="1"/>
  <c r="N17" i="26"/>
  <c r="N16" i="26"/>
  <c r="P16" i="26" s="1"/>
  <c r="Q16" i="26" s="1"/>
  <c r="N15" i="26"/>
  <c r="N35" i="26" s="1"/>
  <c r="T35" i="26" s="1"/>
  <c r="N14" i="26"/>
  <c r="N34" i="26" s="1"/>
  <c r="N13" i="26"/>
  <c r="N33" i="26" s="1"/>
  <c r="T33" i="26" s="1"/>
  <c r="N12" i="26"/>
  <c r="N32" i="26" s="1"/>
  <c r="T32" i="26" s="1"/>
  <c r="N11" i="26"/>
  <c r="N31" i="26" s="1"/>
  <c r="K42" i="26"/>
  <c r="K41" i="26"/>
  <c r="K40" i="26"/>
  <c r="K39" i="26"/>
  <c r="K38" i="26"/>
  <c r="K37" i="26"/>
  <c r="K36" i="26"/>
  <c r="K35" i="26"/>
  <c r="K34" i="26"/>
  <c r="K33" i="26"/>
  <c r="K32" i="26"/>
  <c r="K31" i="26"/>
  <c r="J42" i="26"/>
  <c r="L42" i="26" s="1"/>
  <c r="M42" i="26" s="1"/>
  <c r="J41" i="26"/>
  <c r="J40" i="26"/>
  <c r="J39" i="26"/>
  <c r="L39" i="26" s="1"/>
  <c r="M39" i="26" s="1"/>
  <c r="J38" i="26"/>
  <c r="L38" i="26" s="1"/>
  <c r="M38" i="26" s="1"/>
  <c r="J37" i="26"/>
  <c r="L37" i="26" s="1"/>
  <c r="M37" i="26" s="1"/>
  <c r="J36" i="26"/>
  <c r="J35" i="26"/>
  <c r="J34" i="26"/>
  <c r="J33" i="26"/>
  <c r="J32" i="26"/>
  <c r="J31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F42" i="26"/>
  <c r="H42" i="26" s="1"/>
  <c r="I42" i="26" s="1"/>
  <c r="F41" i="26"/>
  <c r="F40" i="26"/>
  <c r="H40" i="26" s="1"/>
  <c r="I40" i="26" s="1"/>
  <c r="F39" i="26"/>
  <c r="F38" i="26"/>
  <c r="H38" i="26" s="1"/>
  <c r="I38" i="26" s="1"/>
  <c r="F37" i="26"/>
  <c r="H37" i="26" s="1"/>
  <c r="I37" i="26" s="1"/>
  <c r="F36" i="26"/>
  <c r="H36" i="26" s="1"/>
  <c r="I36" i="26" s="1"/>
  <c r="F35" i="26"/>
  <c r="F34" i="26"/>
  <c r="H34" i="26" s="1"/>
  <c r="I34" i="26" s="1"/>
  <c r="F33" i="26"/>
  <c r="F32" i="26"/>
  <c r="H32" i="26" s="1"/>
  <c r="I32" i="26" s="1"/>
  <c r="F31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B42" i="26"/>
  <c r="D42" i="26" s="1"/>
  <c r="E42" i="26" s="1"/>
  <c r="B41" i="26"/>
  <c r="B40" i="26"/>
  <c r="D40" i="26" s="1"/>
  <c r="E40" i="26" s="1"/>
  <c r="B39" i="26"/>
  <c r="B38" i="26"/>
  <c r="B37" i="26"/>
  <c r="B36" i="26"/>
  <c r="B35" i="26"/>
  <c r="B34" i="26"/>
  <c r="B33" i="26"/>
  <c r="B32" i="26"/>
  <c r="D32" i="26" s="1"/>
  <c r="E32" i="26" s="1"/>
  <c r="B31" i="26"/>
  <c r="C10" i="26"/>
  <c r="J24" i="26"/>
  <c r="J25" i="26"/>
  <c r="K23" i="26"/>
  <c r="F24" i="26"/>
  <c r="F25" i="26"/>
  <c r="G23" i="26"/>
  <c r="B24" i="26"/>
  <c r="B25" i="26"/>
  <c r="C23" i="26"/>
  <c r="K24" i="26"/>
  <c r="G24" i="26"/>
  <c r="C24" i="26"/>
  <c r="L11" i="26"/>
  <c r="M11" i="26" s="1"/>
  <c r="L12" i="26"/>
  <c r="M12" i="26" s="1"/>
  <c r="L13" i="26"/>
  <c r="M13" i="26" s="1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L20" i="26"/>
  <c r="M20" i="26" s="1"/>
  <c r="L21" i="26"/>
  <c r="M21" i="26" s="1"/>
  <c r="L22" i="26"/>
  <c r="M22" i="26" s="1"/>
  <c r="H11" i="26"/>
  <c r="I11" i="26" s="1"/>
  <c r="H12" i="26"/>
  <c r="I12" i="26" s="1"/>
  <c r="H18" i="26"/>
  <c r="I18" i="26" s="1"/>
  <c r="H13" i="26"/>
  <c r="H14" i="26"/>
  <c r="I14" i="26" s="1"/>
  <c r="H15" i="26"/>
  <c r="I15" i="26" s="1"/>
  <c r="H16" i="26"/>
  <c r="I16" i="26" s="1"/>
  <c r="H17" i="26"/>
  <c r="H19" i="26"/>
  <c r="I19" i="26" s="1"/>
  <c r="H20" i="26"/>
  <c r="I20" i="26" s="1"/>
  <c r="H21" i="26"/>
  <c r="I21" i="26" s="1"/>
  <c r="H22" i="26"/>
  <c r="I22" i="26" s="1"/>
  <c r="D11" i="26"/>
  <c r="E11" i="26" s="1"/>
  <c r="D12" i="26"/>
  <c r="E12" i="26" s="1"/>
  <c r="D13" i="26"/>
  <c r="E13" i="26" s="1"/>
  <c r="D14" i="26"/>
  <c r="E14" i="26" s="1"/>
  <c r="D15" i="26"/>
  <c r="E15" i="26" s="1"/>
  <c r="D16" i="26"/>
  <c r="D17" i="26"/>
  <c r="E17" i="26" s="1"/>
  <c r="D18" i="26"/>
  <c r="D19" i="26"/>
  <c r="E19" i="26" s="1"/>
  <c r="D20" i="26"/>
  <c r="E20" i="26" s="1"/>
  <c r="D21" i="26"/>
  <c r="E21" i="26" s="1"/>
  <c r="D22" i="26"/>
  <c r="E22" i="26" s="1"/>
  <c r="M19" i="26"/>
  <c r="I13" i="26"/>
  <c r="E18" i="26"/>
  <c r="O22" i="25"/>
  <c r="O42" i="25" s="1"/>
  <c r="U42" i="25" s="1"/>
  <c r="O21" i="25"/>
  <c r="O41" i="25" s="1"/>
  <c r="O20" i="25"/>
  <c r="O40" i="25" s="1"/>
  <c r="U40" i="25" s="1"/>
  <c r="O19" i="25"/>
  <c r="O39" i="25" s="1"/>
  <c r="O18" i="25"/>
  <c r="O38" i="25" s="1"/>
  <c r="O17" i="25"/>
  <c r="O37" i="25" s="1"/>
  <c r="O16" i="25"/>
  <c r="O36" i="25" s="1"/>
  <c r="O15" i="25"/>
  <c r="O35" i="25" s="1"/>
  <c r="U35" i="25" s="1"/>
  <c r="O14" i="25"/>
  <c r="O34" i="25" s="1"/>
  <c r="U34" i="25" s="1"/>
  <c r="O13" i="25"/>
  <c r="O33" i="25" s="1"/>
  <c r="U33" i="25" s="1"/>
  <c r="O12" i="25"/>
  <c r="O32" i="25" s="1"/>
  <c r="U32" i="25" s="1"/>
  <c r="O11" i="25"/>
  <c r="O31" i="25" s="1"/>
  <c r="U31" i="25" s="1"/>
  <c r="N22" i="25"/>
  <c r="N21" i="25"/>
  <c r="N41" i="25" s="1"/>
  <c r="T41" i="25" s="1"/>
  <c r="N20" i="25"/>
  <c r="N40" i="25" s="1"/>
  <c r="T40" i="25" s="1"/>
  <c r="N19" i="25"/>
  <c r="N18" i="25"/>
  <c r="P18" i="25" s="1"/>
  <c r="Q18" i="25" s="1"/>
  <c r="N17" i="25"/>
  <c r="N16" i="25"/>
  <c r="N36" i="25" s="1"/>
  <c r="T36" i="25" s="1"/>
  <c r="N15" i="25"/>
  <c r="N14" i="25"/>
  <c r="N34" i="25" s="1"/>
  <c r="T34" i="25" s="1"/>
  <c r="N13" i="25"/>
  <c r="P13" i="25" s="1"/>
  <c r="Q13" i="25" s="1"/>
  <c r="N12" i="25"/>
  <c r="N32" i="25" s="1"/>
  <c r="T32" i="25" s="1"/>
  <c r="N11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J42" i="25"/>
  <c r="J41" i="25"/>
  <c r="L41" i="25" s="1"/>
  <c r="M41" i="25" s="1"/>
  <c r="J40" i="25"/>
  <c r="J39" i="25"/>
  <c r="L39" i="25" s="1"/>
  <c r="M39" i="25" s="1"/>
  <c r="J38" i="25"/>
  <c r="J37" i="25"/>
  <c r="L37" i="25" s="1"/>
  <c r="M37" i="25" s="1"/>
  <c r="J36" i="25"/>
  <c r="J35" i="25"/>
  <c r="L35" i="25" s="1"/>
  <c r="M35" i="25" s="1"/>
  <c r="J34" i="25"/>
  <c r="L34" i="25" s="1"/>
  <c r="M34" i="25" s="1"/>
  <c r="J33" i="25"/>
  <c r="L33" i="25" s="1"/>
  <c r="M33" i="25" s="1"/>
  <c r="J32" i="25"/>
  <c r="J31" i="25"/>
  <c r="L31" i="25" s="1"/>
  <c r="M31" i="25" s="1"/>
  <c r="G42" i="25"/>
  <c r="G41" i="25"/>
  <c r="G40" i="25"/>
  <c r="G39" i="25"/>
  <c r="G38" i="25"/>
  <c r="G37" i="25"/>
  <c r="G36" i="25"/>
  <c r="G35" i="25"/>
  <c r="G34" i="25"/>
  <c r="G33" i="25"/>
  <c r="G32" i="25"/>
  <c r="G31" i="25"/>
  <c r="F42" i="25"/>
  <c r="F41" i="25"/>
  <c r="F40" i="25"/>
  <c r="F39" i="25"/>
  <c r="F38" i="25"/>
  <c r="H38" i="25" s="1"/>
  <c r="I38" i="25" s="1"/>
  <c r="F37" i="25"/>
  <c r="F36" i="25"/>
  <c r="H36" i="25" s="1"/>
  <c r="I36" i="25" s="1"/>
  <c r="F35" i="25"/>
  <c r="F34" i="25"/>
  <c r="F33" i="25"/>
  <c r="F32" i="25"/>
  <c r="F31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B42" i="25"/>
  <c r="B41" i="25"/>
  <c r="B40" i="25"/>
  <c r="D40" i="25" s="1"/>
  <c r="E40" i="25" s="1"/>
  <c r="B39" i="25"/>
  <c r="B38" i="25"/>
  <c r="D38" i="25" s="1"/>
  <c r="E38" i="25" s="1"/>
  <c r="B37" i="25"/>
  <c r="B36" i="25"/>
  <c r="D36" i="25" s="1"/>
  <c r="E36" i="25" s="1"/>
  <c r="B35" i="25"/>
  <c r="B34" i="25"/>
  <c r="B33" i="25"/>
  <c r="B32" i="25"/>
  <c r="B31" i="25"/>
  <c r="C10" i="25"/>
  <c r="J24" i="25"/>
  <c r="J25" i="25"/>
  <c r="K23" i="25"/>
  <c r="F24" i="25"/>
  <c r="F25" i="25"/>
  <c r="H32" i="25"/>
  <c r="I32" i="25" s="1"/>
  <c r="H41" i="25"/>
  <c r="I41" i="25" s="1"/>
  <c r="G23" i="25"/>
  <c r="C23" i="25"/>
  <c r="K24" i="25"/>
  <c r="G24" i="25"/>
  <c r="C24" i="25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H11" i="25"/>
  <c r="I11" i="25" s="1"/>
  <c r="H12" i="25"/>
  <c r="I12" i="25" s="1"/>
  <c r="H13" i="25"/>
  <c r="I13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D11" i="25"/>
  <c r="E11" i="25" s="1"/>
  <c r="D12" i="25"/>
  <c r="E12" i="25" s="1"/>
  <c r="D13" i="25"/>
  <c r="E13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O22" i="28"/>
  <c r="O42" i="28" s="1"/>
  <c r="O21" i="28"/>
  <c r="O41" i="28" s="1"/>
  <c r="O20" i="28"/>
  <c r="O40" i="28" s="1"/>
  <c r="O19" i="28"/>
  <c r="O39" i="28" s="1"/>
  <c r="U39" i="28" s="1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O34" i="28" s="1"/>
  <c r="U34" i="28" s="1"/>
  <c r="O13" i="28"/>
  <c r="O33" i="28" s="1"/>
  <c r="U33" i="28" s="1"/>
  <c r="O12" i="28"/>
  <c r="O32" i="28" s="1"/>
  <c r="U32" i="28" s="1"/>
  <c r="O11" i="28"/>
  <c r="O31" i="28" s="1"/>
  <c r="U31" i="28" s="1"/>
  <c r="N22" i="28"/>
  <c r="N21" i="28"/>
  <c r="N20" i="28"/>
  <c r="N19" i="28"/>
  <c r="N18" i="28"/>
  <c r="N38" i="28" s="1"/>
  <c r="N17" i="28"/>
  <c r="N16" i="28"/>
  <c r="N36" i="28" s="1"/>
  <c r="N15" i="28"/>
  <c r="N14" i="28"/>
  <c r="N34" i="28" s="1"/>
  <c r="N13" i="28"/>
  <c r="P13" i="28" s="1"/>
  <c r="Q13" i="28" s="1"/>
  <c r="N12" i="28"/>
  <c r="N32" i="28" s="1"/>
  <c r="N11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J42" i="28"/>
  <c r="J41" i="28"/>
  <c r="J40" i="28"/>
  <c r="J39" i="28"/>
  <c r="J38" i="28"/>
  <c r="J37" i="28"/>
  <c r="J36" i="28"/>
  <c r="J35" i="28"/>
  <c r="J34" i="28"/>
  <c r="J33" i="28"/>
  <c r="L33" i="28" s="1"/>
  <c r="M33" i="28" s="1"/>
  <c r="J32" i="28"/>
  <c r="J31" i="28"/>
  <c r="L31" i="28" s="1"/>
  <c r="M31" i="28" s="1"/>
  <c r="G42" i="28"/>
  <c r="G41" i="28"/>
  <c r="G40" i="28"/>
  <c r="G39" i="28"/>
  <c r="G38" i="28"/>
  <c r="G37" i="28"/>
  <c r="G36" i="28"/>
  <c r="G35" i="28"/>
  <c r="G34" i="28"/>
  <c r="G33" i="28"/>
  <c r="G32" i="28"/>
  <c r="G31" i="28"/>
  <c r="F42" i="28"/>
  <c r="F41" i="28"/>
  <c r="H41" i="28" s="1"/>
  <c r="I41" i="28" s="1"/>
  <c r="F40" i="28"/>
  <c r="H40" i="28" s="1"/>
  <c r="I40" i="28" s="1"/>
  <c r="F39" i="28"/>
  <c r="F38" i="28"/>
  <c r="F37" i="28"/>
  <c r="F36" i="28"/>
  <c r="F35" i="28"/>
  <c r="H35" i="28" s="1"/>
  <c r="I35" i="28" s="1"/>
  <c r="F34" i="28"/>
  <c r="F33" i="28"/>
  <c r="F32" i="28"/>
  <c r="F31" i="28"/>
  <c r="H31" i="28" s="1"/>
  <c r="I31" i="28" s="1"/>
  <c r="C42" i="28"/>
  <c r="C41" i="28"/>
  <c r="C40" i="28"/>
  <c r="C39" i="28"/>
  <c r="C38" i="28"/>
  <c r="C37" i="28"/>
  <c r="C36" i="28"/>
  <c r="C35" i="28"/>
  <c r="C34" i="28"/>
  <c r="C33" i="28"/>
  <c r="C32" i="28"/>
  <c r="C31" i="28"/>
  <c r="B42" i="28"/>
  <c r="B41" i="28"/>
  <c r="D41" i="28" s="1"/>
  <c r="E41" i="28" s="1"/>
  <c r="B40" i="28"/>
  <c r="B39" i="28"/>
  <c r="D39" i="28" s="1"/>
  <c r="E39" i="28" s="1"/>
  <c r="B38" i="28"/>
  <c r="B37" i="28"/>
  <c r="D37" i="28" s="1"/>
  <c r="E37" i="28" s="1"/>
  <c r="B36" i="28"/>
  <c r="B35" i="28"/>
  <c r="D35" i="28" s="1"/>
  <c r="E35" i="28" s="1"/>
  <c r="B34" i="28"/>
  <c r="B33" i="28"/>
  <c r="D33" i="28" s="1"/>
  <c r="E33" i="28" s="1"/>
  <c r="B32" i="28"/>
  <c r="B31" i="28"/>
  <c r="C10" i="28"/>
  <c r="J24" i="28"/>
  <c r="J25" i="28"/>
  <c r="L37" i="28"/>
  <c r="M37" i="28" s="1"/>
  <c r="L42" i="28"/>
  <c r="M42" i="28" s="1"/>
  <c r="K23" i="28"/>
  <c r="F24" i="28"/>
  <c r="F25" i="28"/>
  <c r="H32" i="28"/>
  <c r="I32" i="28" s="1"/>
  <c r="G23" i="28"/>
  <c r="B24" i="28"/>
  <c r="B25" i="28"/>
  <c r="D32" i="28"/>
  <c r="E32" i="28" s="1"/>
  <c r="C23" i="28"/>
  <c r="K24" i="28"/>
  <c r="G24" i="28"/>
  <c r="C24" i="28"/>
  <c r="L11" i="28"/>
  <c r="M11" i="28" s="1"/>
  <c r="L12" i="28"/>
  <c r="M12" i="28" s="1"/>
  <c r="L13" i="28"/>
  <c r="M13" i="28" s="1"/>
  <c r="L14" i="28"/>
  <c r="L15" i="28"/>
  <c r="M15" i="28" s="1"/>
  <c r="L16" i="28"/>
  <c r="L17" i="28"/>
  <c r="M17" i="28" s="1"/>
  <c r="L18" i="28"/>
  <c r="M18" i="28" s="1"/>
  <c r="L19" i="28"/>
  <c r="M19" i="28" s="1"/>
  <c r="L20" i="28"/>
  <c r="L21" i="28"/>
  <c r="M21" i="28" s="1"/>
  <c r="L22" i="28"/>
  <c r="M22" i="28" s="1"/>
  <c r="H11" i="28"/>
  <c r="I11" i="28" s="1"/>
  <c r="H12" i="28"/>
  <c r="I12" i="28" s="1"/>
  <c r="H13" i="28"/>
  <c r="I13" i="28" s="1"/>
  <c r="H14" i="28"/>
  <c r="I14" i="28" s="1"/>
  <c r="H15" i="28"/>
  <c r="H16" i="28"/>
  <c r="I16" i="28" s="1"/>
  <c r="H17" i="28"/>
  <c r="H18" i="28"/>
  <c r="I18" i="28" s="1"/>
  <c r="H19" i="28"/>
  <c r="I19" i="28" s="1"/>
  <c r="H20" i="28"/>
  <c r="I20" i="28" s="1"/>
  <c r="H21" i="28"/>
  <c r="I21" i="28" s="1"/>
  <c r="H22" i="28"/>
  <c r="I22" i="28" s="1"/>
  <c r="D11" i="28"/>
  <c r="E11" i="28" s="1"/>
  <c r="D12" i="28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I17" i="28"/>
  <c r="M16" i="28"/>
  <c r="I15" i="28"/>
  <c r="M14" i="28"/>
  <c r="N11" i="27"/>
  <c r="O12" i="27"/>
  <c r="O32" i="27" s="1"/>
  <c r="U32" i="27" s="1"/>
  <c r="O13" i="27"/>
  <c r="O33" i="27" s="1"/>
  <c r="U33" i="27" s="1"/>
  <c r="O14" i="27"/>
  <c r="O34" i="27" s="1"/>
  <c r="U34" i="27" s="1"/>
  <c r="O15" i="27"/>
  <c r="O16" i="27"/>
  <c r="O36" i="27" s="1"/>
  <c r="N12" i="27"/>
  <c r="N13" i="27"/>
  <c r="N14" i="27"/>
  <c r="N15" i="27"/>
  <c r="N16" i="27"/>
  <c r="O17" i="27"/>
  <c r="O18" i="27"/>
  <c r="O38" i="27" s="1"/>
  <c r="O19" i="27"/>
  <c r="O39" i="27" s="1"/>
  <c r="U39" i="27" s="1"/>
  <c r="O20" i="27"/>
  <c r="O21" i="27"/>
  <c r="O41" i="27" s="1"/>
  <c r="O22" i="27"/>
  <c r="O42" i="27" s="1"/>
  <c r="N17" i="27"/>
  <c r="P17" i="27" s="1"/>
  <c r="Q17" i="27" s="1"/>
  <c r="N18" i="27"/>
  <c r="P18" i="27" s="1"/>
  <c r="Q18" i="27" s="1"/>
  <c r="N19" i="27"/>
  <c r="N39" i="27" s="1"/>
  <c r="T39" i="27" s="1"/>
  <c r="N20" i="27"/>
  <c r="P20" i="27" s="1"/>
  <c r="Q20" i="27" s="1"/>
  <c r="N21" i="27"/>
  <c r="N41" i="27" s="1"/>
  <c r="T41" i="27" s="1"/>
  <c r="N22" i="27"/>
  <c r="N42" i="27" s="1"/>
  <c r="T42" i="27" s="1"/>
  <c r="O11" i="27"/>
  <c r="O31" i="27" s="1"/>
  <c r="U31" i="27" s="1"/>
  <c r="O35" i="27"/>
  <c r="J24" i="27"/>
  <c r="J25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K23" i="27"/>
  <c r="F24" i="27"/>
  <c r="F25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G23" i="27"/>
  <c r="B24" i="27"/>
  <c r="B25" i="27"/>
  <c r="B31" i="27"/>
  <c r="C31" i="27"/>
  <c r="B32" i="27"/>
  <c r="C32" i="27"/>
  <c r="B33" i="27"/>
  <c r="C33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B42" i="27"/>
  <c r="C42" i="27"/>
  <c r="C23" i="27"/>
  <c r="K24" i="27"/>
  <c r="L11" i="27"/>
  <c r="M11" i="27" s="1"/>
  <c r="L12" i="27"/>
  <c r="M12" i="27" s="1"/>
  <c r="L13" i="27"/>
  <c r="M13" i="27" s="1"/>
  <c r="L14" i="27"/>
  <c r="M14" i="27" s="1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G24" i="27"/>
  <c r="H11" i="27"/>
  <c r="I11" i="27" s="1"/>
  <c r="H12" i="27"/>
  <c r="I12" i="27" s="1"/>
  <c r="H13" i="27"/>
  <c r="I13" i="27" s="1"/>
  <c r="H14" i="27"/>
  <c r="I14" i="27" s="1"/>
  <c r="H15" i="27"/>
  <c r="I15" i="27" s="1"/>
  <c r="H16" i="27"/>
  <c r="I16" i="27" s="1"/>
  <c r="H17" i="27"/>
  <c r="I17" i="27" s="1"/>
  <c r="H18" i="27"/>
  <c r="I18" i="27" s="1"/>
  <c r="H19" i="27"/>
  <c r="I19" i="27" s="1"/>
  <c r="H20" i="27"/>
  <c r="I20" i="27" s="1"/>
  <c r="H21" i="27"/>
  <c r="I21" i="27" s="1"/>
  <c r="H22" i="27"/>
  <c r="I22" i="27" s="1"/>
  <c r="D22" i="27"/>
  <c r="E22" i="27" s="1"/>
  <c r="D21" i="27"/>
  <c r="E21" i="27" s="1"/>
  <c r="D20" i="27"/>
  <c r="D19" i="27"/>
  <c r="E19" i="27" s="1"/>
  <c r="D18" i="27"/>
  <c r="D17" i="27"/>
  <c r="E17" i="27" s="1"/>
  <c r="D16" i="27"/>
  <c r="E16" i="27" s="1"/>
  <c r="D15" i="27"/>
  <c r="E15" i="27" s="1"/>
  <c r="D14" i="27"/>
  <c r="D13" i="27"/>
  <c r="E13" i="27" s="1"/>
  <c r="D12" i="27"/>
  <c r="E12" i="27" s="1"/>
  <c r="D11" i="27"/>
  <c r="E11" i="27" s="1"/>
  <c r="C24" i="27"/>
  <c r="O22" i="15"/>
  <c r="O42" i="15" s="1"/>
  <c r="N22" i="15"/>
  <c r="O21" i="15"/>
  <c r="O41" i="15" s="1"/>
  <c r="U41" i="15" s="1"/>
  <c r="N21" i="15"/>
  <c r="O20" i="15"/>
  <c r="O40" i="15" s="1"/>
  <c r="N20" i="15"/>
  <c r="O19" i="15"/>
  <c r="O39" i="15" s="1"/>
  <c r="N19" i="15"/>
  <c r="O18" i="15"/>
  <c r="O38" i="15" s="1"/>
  <c r="N18" i="15"/>
  <c r="O17" i="15"/>
  <c r="O37" i="15" s="1"/>
  <c r="N17" i="15"/>
  <c r="O16" i="15"/>
  <c r="O36" i="15" s="1"/>
  <c r="N16" i="15"/>
  <c r="O15" i="15"/>
  <c r="O35" i="15" s="1"/>
  <c r="U35" i="15" s="1"/>
  <c r="N15" i="15"/>
  <c r="O14" i="15"/>
  <c r="O34" i="15" s="1"/>
  <c r="U34" i="15" s="1"/>
  <c r="N14" i="15"/>
  <c r="O13" i="15"/>
  <c r="O33" i="15" s="1"/>
  <c r="N13" i="15"/>
  <c r="O12" i="15"/>
  <c r="O32" i="15" s="1"/>
  <c r="U32" i="15" s="1"/>
  <c r="N12" i="15"/>
  <c r="O11" i="15"/>
  <c r="O31" i="15" s="1"/>
  <c r="N11" i="15"/>
  <c r="O22" i="16"/>
  <c r="O42" i="16" s="1"/>
  <c r="N22" i="16"/>
  <c r="O21" i="16"/>
  <c r="O41" i="16" s="1"/>
  <c r="U41" i="16" s="1"/>
  <c r="N21" i="16"/>
  <c r="O20" i="16"/>
  <c r="O40" i="16" s="1"/>
  <c r="N20" i="16"/>
  <c r="O19" i="16"/>
  <c r="O39" i="16" s="1"/>
  <c r="N19" i="16"/>
  <c r="O18" i="16"/>
  <c r="O38" i="16" s="1"/>
  <c r="N18" i="16"/>
  <c r="O17" i="16"/>
  <c r="O37" i="16" s="1"/>
  <c r="N17" i="16"/>
  <c r="O16" i="16"/>
  <c r="O36" i="16" s="1"/>
  <c r="N16" i="16"/>
  <c r="O15" i="16"/>
  <c r="O35" i="16" s="1"/>
  <c r="N15" i="16"/>
  <c r="O14" i="16"/>
  <c r="O34" i="16" s="1"/>
  <c r="U34" i="16" s="1"/>
  <c r="N14" i="16"/>
  <c r="O13" i="16"/>
  <c r="O33" i="16" s="1"/>
  <c r="N13" i="16"/>
  <c r="O12" i="16"/>
  <c r="O32" i="16" s="1"/>
  <c r="U32" i="16" s="1"/>
  <c r="N12" i="16"/>
  <c r="O11" i="16"/>
  <c r="O31" i="16" s="1"/>
  <c r="N11" i="16"/>
  <c r="O22" i="17"/>
  <c r="O42" i="17" s="1"/>
  <c r="N22" i="17"/>
  <c r="O21" i="17"/>
  <c r="O41" i="17" s="1"/>
  <c r="N21" i="17"/>
  <c r="O20" i="17"/>
  <c r="O40" i="17" s="1"/>
  <c r="N20" i="17"/>
  <c r="O19" i="17"/>
  <c r="O39" i="17" s="1"/>
  <c r="U39" i="17" s="1"/>
  <c r="N19" i="17"/>
  <c r="O18" i="17"/>
  <c r="O38" i="17" s="1"/>
  <c r="N18" i="17"/>
  <c r="O17" i="17"/>
  <c r="O37" i="17" s="1"/>
  <c r="N17" i="17"/>
  <c r="O16" i="17"/>
  <c r="O36" i="17" s="1"/>
  <c r="N16" i="17"/>
  <c r="O15" i="17"/>
  <c r="O35" i="17" s="1"/>
  <c r="N15" i="17"/>
  <c r="O14" i="17"/>
  <c r="O34" i="17" s="1"/>
  <c r="U34" i="17" s="1"/>
  <c r="N14" i="17"/>
  <c r="O13" i="17"/>
  <c r="O33" i="17" s="1"/>
  <c r="U33" i="17" s="1"/>
  <c r="N13" i="17"/>
  <c r="O12" i="17"/>
  <c r="O32" i="17" s="1"/>
  <c r="U32" i="17" s="1"/>
  <c r="N12" i="17"/>
  <c r="O11" i="17"/>
  <c r="O31" i="17" s="1"/>
  <c r="N11" i="17"/>
  <c r="O22" i="18"/>
  <c r="O42" i="18" s="1"/>
  <c r="N22" i="18"/>
  <c r="O21" i="18"/>
  <c r="O41" i="18" s="1"/>
  <c r="N21" i="18"/>
  <c r="O20" i="18"/>
  <c r="O40" i="18" s="1"/>
  <c r="N20" i="18"/>
  <c r="O19" i="18"/>
  <c r="O39" i="18" s="1"/>
  <c r="N19" i="18"/>
  <c r="O18" i="18"/>
  <c r="O38" i="18" s="1"/>
  <c r="N18" i="18"/>
  <c r="O17" i="18"/>
  <c r="O37" i="18" s="1"/>
  <c r="N17" i="18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O13" i="18"/>
  <c r="O33" i="18" s="1"/>
  <c r="N13" i="18"/>
  <c r="O12" i="18"/>
  <c r="O32" i="18" s="1"/>
  <c r="U32" i="18" s="1"/>
  <c r="N12" i="18"/>
  <c r="O11" i="18"/>
  <c r="O31" i="18" s="1"/>
  <c r="U31" i="18" s="1"/>
  <c r="N11" i="18"/>
  <c r="C22" i="20"/>
  <c r="C42" i="20" s="1"/>
  <c r="G22" i="20"/>
  <c r="G42" i="20" s="1"/>
  <c r="K22" i="20"/>
  <c r="K42" i="20" s="1"/>
  <c r="B22" i="20"/>
  <c r="F22" i="20"/>
  <c r="J22" i="20"/>
  <c r="C21" i="20"/>
  <c r="G21" i="20"/>
  <c r="K21" i="20"/>
  <c r="K22" i="22" s="1"/>
  <c r="K42" i="22" s="1"/>
  <c r="B21" i="20"/>
  <c r="F21" i="20"/>
  <c r="J21" i="20"/>
  <c r="C20" i="20"/>
  <c r="C40" i="20" s="1"/>
  <c r="G20" i="20"/>
  <c r="G40" i="20" s="1"/>
  <c r="K20" i="20"/>
  <c r="K40" i="20" s="1"/>
  <c r="B20" i="20"/>
  <c r="F20" i="20"/>
  <c r="J20" i="20"/>
  <c r="C19" i="20"/>
  <c r="C39" i="20" s="1"/>
  <c r="G19" i="20"/>
  <c r="G39" i="20" s="1"/>
  <c r="K19" i="20"/>
  <c r="K39" i="20" s="1"/>
  <c r="B19" i="20"/>
  <c r="F19" i="20"/>
  <c r="J19" i="20"/>
  <c r="C18" i="20"/>
  <c r="G18" i="20"/>
  <c r="G38" i="20" s="1"/>
  <c r="K18" i="20"/>
  <c r="B18" i="20"/>
  <c r="F18" i="20"/>
  <c r="J18" i="20"/>
  <c r="C17" i="20"/>
  <c r="C37" i="20" s="1"/>
  <c r="G17" i="20"/>
  <c r="G37" i="20" s="1"/>
  <c r="K17" i="20"/>
  <c r="K37" i="20" s="1"/>
  <c r="B17" i="20"/>
  <c r="F17" i="20"/>
  <c r="J17" i="20"/>
  <c r="C16" i="20"/>
  <c r="C36" i="20" s="1"/>
  <c r="G16" i="20"/>
  <c r="G36" i="20" s="1"/>
  <c r="K16" i="20"/>
  <c r="K36" i="20" s="1"/>
  <c r="B16" i="20"/>
  <c r="F16" i="20"/>
  <c r="J16" i="20"/>
  <c r="C15" i="20"/>
  <c r="C35" i="20" s="1"/>
  <c r="G15" i="20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J14" i="20"/>
  <c r="C13" i="20"/>
  <c r="C33" i="20" s="1"/>
  <c r="G13" i="20"/>
  <c r="K13" i="20"/>
  <c r="K33" i="20" s="1"/>
  <c r="B13" i="20"/>
  <c r="F13" i="20"/>
  <c r="J13" i="20"/>
  <c r="C12" i="20"/>
  <c r="C32" i="20" s="1"/>
  <c r="G12" i="20"/>
  <c r="G32" i="20" s="1"/>
  <c r="K12" i="20"/>
  <c r="K32" i="20" s="1"/>
  <c r="B12" i="20"/>
  <c r="F12" i="20"/>
  <c r="J12" i="20"/>
  <c r="C11" i="20"/>
  <c r="C31" i="20" s="1"/>
  <c r="G11" i="20"/>
  <c r="G31" i="20" s="1"/>
  <c r="K11" i="20"/>
  <c r="K31" i="20" s="1"/>
  <c r="B11" i="20"/>
  <c r="F11" i="20"/>
  <c r="J11" i="20"/>
  <c r="C22" i="21"/>
  <c r="C42" i="21" s="1"/>
  <c r="G22" i="21"/>
  <c r="G42" i="21" s="1"/>
  <c r="K22" i="21"/>
  <c r="K42" i="21" s="1"/>
  <c r="B22" i="21"/>
  <c r="F22" i="21"/>
  <c r="J22" i="21"/>
  <c r="C21" i="21"/>
  <c r="C41" i="21" s="1"/>
  <c r="G21" i="21"/>
  <c r="K21" i="21"/>
  <c r="K41" i="21" s="1"/>
  <c r="B21" i="21"/>
  <c r="F21" i="21"/>
  <c r="J21" i="21"/>
  <c r="C20" i="21"/>
  <c r="G20" i="21"/>
  <c r="G40" i="21" s="1"/>
  <c r="K20" i="21"/>
  <c r="K40" i="21" s="1"/>
  <c r="B20" i="21"/>
  <c r="F20" i="21"/>
  <c r="J20" i="21"/>
  <c r="C19" i="21"/>
  <c r="C39" i="21" s="1"/>
  <c r="G19" i="21"/>
  <c r="G39" i="21" s="1"/>
  <c r="K19" i="21"/>
  <c r="K39" i="21" s="1"/>
  <c r="B19" i="21"/>
  <c r="F19" i="21"/>
  <c r="F20" i="22" s="1"/>
  <c r="J19" i="21"/>
  <c r="C18" i="21"/>
  <c r="C38" i="21" s="1"/>
  <c r="G18" i="21"/>
  <c r="G19" i="22" s="1"/>
  <c r="G39" i="22" s="1"/>
  <c r="K18" i="21"/>
  <c r="K38" i="21" s="1"/>
  <c r="B18" i="21"/>
  <c r="F18" i="21"/>
  <c r="J18" i="21"/>
  <c r="C17" i="21"/>
  <c r="C37" i="21" s="1"/>
  <c r="G17" i="21"/>
  <c r="G37" i="21" s="1"/>
  <c r="K17" i="21"/>
  <c r="K37" i="21" s="1"/>
  <c r="B17" i="21"/>
  <c r="F17" i="21"/>
  <c r="J17" i="21"/>
  <c r="C16" i="21"/>
  <c r="C36" i="21" s="1"/>
  <c r="G16" i="21"/>
  <c r="G36" i="21" s="1"/>
  <c r="K16" i="21"/>
  <c r="K36" i="21" s="1"/>
  <c r="B16" i="21"/>
  <c r="F16" i="21"/>
  <c r="J16" i="21"/>
  <c r="C15" i="21"/>
  <c r="C35" i="21" s="1"/>
  <c r="G15" i="21"/>
  <c r="G35" i="21" s="1"/>
  <c r="K15" i="21"/>
  <c r="K35" i="21" s="1"/>
  <c r="B15" i="21"/>
  <c r="F15" i="21"/>
  <c r="J15" i="21"/>
  <c r="C14" i="21"/>
  <c r="C34" i="21" s="1"/>
  <c r="G14" i="21"/>
  <c r="G34" i="21" s="1"/>
  <c r="K14" i="21"/>
  <c r="K34" i="21" s="1"/>
  <c r="B14" i="21"/>
  <c r="F14" i="21"/>
  <c r="J14" i="21"/>
  <c r="C13" i="21"/>
  <c r="C33" i="21" s="1"/>
  <c r="G13" i="21"/>
  <c r="G33" i="21" s="1"/>
  <c r="K13" i="21"/>
  <c r="K33" i="21" s="1"/>
  <c r="B13" i="21"/>
  <c r="F13" i="21"/>
  <c r="J13" i="21"/>
  <c r="C12" i="21"/>
  <c r="C32" i="21" s="1"/>
  <c r="G12" i="21"/>
  <c r="G32" i="21" s="1"/>
  <c r="K12" i="21"/>
  <c r="K32" i="21" s="1"/>
  <c r="B12" i="21"/>
  <c r="F12" i="21"/>
  <c r="J12" i="21"/>
  <c r="C11" i="21"/>
  <c r="C31" i="21" s="1"/>
  <c r="G11" i="21"/>
  <c r="G31" i="21" s="1"/>
  <c r="K11" i="21"/>
  <c r="K31" i="21" s="1"/>
  <c r="B11" i="21"/>
  <c r="F11" i="21"/>
  <c r="J11" i="21"/>
  <c r="C23" i="22"/>
  <c r="C43" i="22" s="1"/>
  <c r="G23" i="22"/>
  <c r="K23" i="22"/>
  <c r="B23" i="22"/>
  <c r="F23" i="22"/>
  <c r="J23" i="22"/>
  <c r="C22" i="22"/>
  <c r="G20" i="22"/>
  <c r="G40" i="22" s="1"/>
  <c r="G33" i="20"/>
  <c r="C9" i="15"/>
  <c r="G9" i="15" s="1"/>
  <c r="C9" i="16"/>
  <c r="S29" i="16" s="1"/>
  <c r="C9" i="17"/>
  <c r="S29" i="17" s="1"/>
  <c r="C9" i="18"/>
  <c r="S29" i="18" s="1"/>
  <c r="C9" i="25"/>
  <c r="G9" i="25" s="1"/>
  <c r="C9" i="26"/>
  <c r="G9" i="26" s="1"/>
  <c r="C9" i="20"/>
  <c r="S29" i="20" s="1"/>
  <c r="C9" i="21"/>
  <c r="G9" i="21" s="1"/>
  <c r="C10" i="22"/>
  <c r="S30" i="22" s="1"/>
  <c r="C9" i="28"/>
  <c r="G9" i="28" s="1"/>
  <c r="B9" i="15"/>
  <c r="R29" i="15" s="1"/>
  <c r="B9" i="16"/>
  <c r="R29" i="16" s="1"/>
  <c r="B9" i="17"/>
  <c r="R29" i="17" s="1"/>
  <c r="B9" i="18"/>
  <c r="N29" i="18" s="1"/>
  <c r="B9" i="25"/>
  <c r="F9" i="25" s="1"/>
  <c r="B9" i="26"/>
  <c r="F9" i="26" s="1"/>
  <c r="B9" i="20"/>
  <c r="N29" i="20" s="1"/>
  <c r="B9" i="21"/>
  <c r="R29" i="21" s="1"/>
  <c r="B10" i="22"/>
  <c r="N30" i="22" s="1"/>
  <c r="B9" i="28"/>
  <c r="F9" i="28" s="1"/>
  <c r="C31" i="15"/>
  <c r="C32" i="15"/>
  <c r="C33" i="15"/>
  <c r="C34" i="15"/>
  <c r="C35" i="15"/>
  <c r="C36" i="15"/>
  <c r="C37" i="15"/>
  <c r="C38" i="15"/>
  <c r="C39" i="15"/>
  <c r="C40" i="15"/>
  <c r="C41" i="15"/>
  <c r="C42" i="15"/>
  <c r="F9" i="27"/>
  <c r="G9" i="27"/>
  <c r="J9" i="27"/>
  <c r="K9" i="27"/>
  <c r="N9" i="27"/>
  <c r="O9" i="27"/>
  <c r="S43" i="27"/>
  <c r="C10" i="27" s="1"/>
  <c r="E14" i="27"/>
  <c r="E18" i="27"/>
  <c r="E20" i="27"/>
  <c r="B29" i="27"/>
  <c r="C29" i="27"/>
  <c r="F29" i="27"/>
  <c r="G29" i="27"/>
  <c r="J29" i="27"/>
  <c r="K29" i="27"/>
  <c r="N29" i="27"/>
  <c r="O29" i="27"/>
  <c r="R29" i="27"/>
  <c r="S29" i="27"/>
  <c r="K29" i="25"/>
  <c r="K42" i="18"/>
  <c r="K31" i="18"/>
  <c r="K32" i="18"/>
  <c r="K33" i="18"/>
  <c r="K34" i="18"/>
  <c r="K35" i="18"/>
  <c r="K36" i="18"/>
  <c r="K37" i="18"/>
  <c r="K38" i="18"/>
  <c r="K39" i="18"/>
  <c r="K40" i="18"/>
  <c r="K41" i="18"/>
  <c r="J42" i="18"/>
  <c r="M42" i="18" s="1"/>
  <c r="J31" i="18"/>
  <c r="L31" i="18" s="1"/>
  <c r="J32" i="18"/>
  <c r="M32" i="18" s="1"/>
  <c r="J33" i="18"/>
  <c r="L33" i="18" s="1"/>
  <c r="J34" i="18"/>
  <c r="L34" i="18" s="1"/>
  <c r="J35" i="18"/>
  <c r="J36" i="18"/>
  <c r="L36" i="18" s="1"/>
  <c r="J37" i="18"/>
  <c r="L37" i="18" s="1"/>
  <c r="J38" i="18"/>
  <c r="L38" i="18" s="1"/>
  <c r="J39" i="18"/>
  <c r="L39" i="18" s="1"/>
  <c r="J40" i="18"/>
  <c r="M40" i="18" s="1"/>
  <c r="J41" i="18"/>
  <c r="L32" i="18"/>
  <c r="G42" i="18"/>
  <c r="G31" i="18"/>
  <c r="G32" i="18"/>
  <c r="G33" i="18"/>
  <c r="G34" i="18"/>
  <c r="G35" i="18"/>
  <c r="G36" i="18"/>
  <c r="G37" i="18"/>
  <c r="G38" i="18"/>
  <c r="G39" i="18"/>
  <c r="G40" i="18"/>
  <c r="G41" i="18"/>
  <c r="F42" i="18"/>
  <c r="I42" i="18" s="1"/>
  <c r="F31" i="18"/>
  <c r="I31" i="18" s="1"/>
  <c r="F32" i="18"/>
  <c r="I32" i="18" s="1"/>
  <c r="F33" i="18"/>
  <c r="I33" i="18" s="1"/>
  <c r="F34" i="18"/>
  <c r="I34" i="18" s="1"/>
  <c r="F35" i="18"/>
  <c r="I35" i="18" s="1"/>
  <c r="F36" i="18"/>
  <c r="H36" i="18" s="1"/>
  <c r="F37" i="18"/>
  <c r="F38" i="18"/>
  <c r="H38" i="18" s="1"/>
  <c r="F39" i="18"/>
  <c r="I39" i="18" s="1"/>
  <c r="F40" i="18"/>
  <c r="H40" i="18" s="1"/>
  <c r="F41" i="18"/>
  <c r="H42" i="18"/>
  <c r="H31" i="18"/>
  <c r="H32" i="18"/>
  <c r="H33" i="18"/>
  <c r="C42" i="18"/>
  <c r="C31" i="18"/>
  <c r="C32" i="18"/>
  <c r="C33" i="18"/>
  <c r="C34" i="18"/>
  <c r="C35" i="18"/>
  <c r="C36" i="18"/>
  <c r="C37" i="18"/>
  <c r="C38" i="18"/>
  <c r="C39" i="18"/>
  <c r="C40" i="18"/>
  <c r="C41" i="18"/>
  <c r="B42" i="18"/>
  <c r="B31" i="18"/>
  <c r="B32" i="18"/>
  <c r="B33" i="18"/>
  <c r="B34" i="18"/>
  <c r="E34" i="18" s="1"/>
  <c r="B35" i="18"/>
  <c r="D35" i="18" s="1"/>
  <c r="B36" i="18"/>
  <c r="D36" i="18" s="1"/>
  <c r="B37" i="18"/>
  <c r="D37" i="18" s="1"/>
  <c r="B38" i="18"/>
  <c r="E38" i="18" s="1"/>
  <c r="B39" i="18"/>
  <c r="D39" i="18" s="1"/>
  <c r="B40" i="18"/>
  <c r="B41" i="18"/>
  <c r="D41" i="18" s="1"/>
  <c r="D32" i="18"/>
  <c r="K42" i="17"/>
  <c r="K31" i="17"/>
  <c r="K32" i="17"/>
  <c r="K33" i="17"/>
  <c r="K34" i="17"/>
  <c r="K35" i="17"/>
  <c r="M35" i="17" s="1"/>
  <c r="K36" i="17"/>
  <c r="K37" i="17"/>
  <c r="M37" i="17" s="1"/>
  <c r="K38" i="17"/>
  <c r="K39" i="17"/>
  <c r="K40" i="17"/>
  <c r="K41" i="17"/>
  <c r="M41" i="17" s="1"/>
  <c r="J42" i="17"/>
  <c r="M42" i="17" s="1"/>
  <c r="J31" i="17"/>
  <c r="L31" i="17" s="1"/>
  <c r="J32" i="17"/>
  <c r="J33" i="17"/>
  <c r="L33" i="17" s="1"/>
  <c r="J34" i="17"/>
  <c r="J35" i="17"/>
  <c r="J36" i="17"/>
  <c r="J37" i="17"/>
  <c r="L37" i="17" s="1"/>
  <c r="J38" i="17"/>
  <c r="J39" i="17"/>
  <c r="L39" i="17" s="1"/>
  <c r="J40" i="17"/>
  <c r="L40" i="17" s="1"/>
  <c r="J41" i="17"/>
  <c r="L32" i="17"/>
  <c r="L41" i="17"/>
  <c r="G42" i="17"/>
  <c r="G31" i="17"/>
  <c r="G32" i="17"/>
  <c r="G33" i="17"/>
  <c r="G34" i="17"/>
  <c r="G35" i="17"/>
  <c r="G36" i="17"/>
  <c r="G37" i="17"/>
  <c r="G38" i="17"/>
  <c r="G39" i="17"/>
  <c r="G40" i="17"/>
  <c r="G41" i="17"/>
  <c r="F42" i="17"/>
  <c r="I42" i="17" s="1"/>
  <c r="F31" i="17"/>
  <c r="F32" i="17"/>
  <c r="I32" i="17" s="1"/>
  <c r="F33" i="17"/>
  <c r="F34" i="17"/>
  <c r="I34" i="17" s="1"/>
  <c r="F35" i="17"/>
  <c r="F36" i="17"/>
  <c r="I36" i="17" s="1"/>
  <c r="F37" i="17"/>
  <c r="F38" i="17"/>
  <c r="I38" i="17" s="1"/>
  <c r="F39" i="17"/>
  <c r="F40" i="17"/>
  <c r="H40" i="17" s="1"/>
  <c r="F41" i="17"/>
  <c r="H42" i="17"/>
  <c r="H31" i="17"/>
  <c r="H32" i="17"/>
  <c r="H33" i="17"/>
  <c r="H34" i="17"/>
  <c r="H35" i="17"/>
  <c r="H36" i="17"/>
  <c r="H37" i="17"/>
  <c r="C42" i="17"/>
  <c r="C31" i="17"/>
  <c r="C32" i="17"/>
  <c r="C33" i="17"/>
  <c r="C34" i="17"/>
  <c r="C35" i="17"/>
  <c r="C36" i="17"/>
  <c r="C37" i="17"/>
  <c r="C38" i="17"/>
  <c r="C39" i="17"/>
  <c r="C40" i="17"/>
  <c r="C41" i="17"/>
  <c r="B42" i="17"/>
  <c r="E42" i="17" s="1"/>
  <c r="B31" i="17"/>
  <c r="E31" i="17" s="1"/>
  <c r="B32" i="17"/>
  <c r="E32" i="17" s="1"/>
  <c r="B33" i="17"/>
  <c r="E33" i="17" s="1"/>
  <c r="B34" i="17"/>
  <c r="E34" i="17" s="1"/>
  <c r="B35" i="17"/>
  <c r="E35" i="17" s="1"/>
  <c r="B36" i="17"/>
  <c r="B37" i="17"/>
  <c r="E37" i="17" s="1"/>
  <c r="B38" i="17"/>
  <c r="E38" i="17" s="1"/>
  <c r="B39" i="17"/>
  <c r="B40" i="17"/>
  <c r="E40" i="17" s="1"/>
  <c r="B41" i="17"/>
  <c r="E41" i="17" s="1"/>
  <c r="D42" i="17"/>
  <c r="D31" i="17"/>
  <c r="D32" i="17"/>
  <c r="D33" i="17"/>
  <c r="D34" i="17"/>
  <c r="D35" i="17"/>
  <c r="D36" i="17"/>
  <c r="D37" i="17"/>
  <c r="D40" i="17"/>
  <c r="K42" i="16"/>
  <c r="K31" i="16"/>
  <c r="K32" i="16"/>
  <c r="K33" i="16"/>
  <c r="K34" i="16"/>
  <c r="K35" i="16"/>
  <c r="K36" i="16"/>
  <c r="K37" i="16"/>
  <c r="K38" i="16"/>
  <c r="K39" i="16"/>
  <c r="K40" i="16"/>
  <c r="K41" i="16"/>
  <c r="J42" i="16"/>
  <c r="J31" i="16"/>
  <c r="L31" i="16" s="1"/>
  <c r="J32" i="16"/>
  <c r="J33" i="16"/>
  <c r="L33" i="16" s="1"/>
  <c r="J34" i="16"/>
  <c r="L34" i="16" s="1"/>
  <c r="J35" i="16"/>
  <c r="L35" i="16" s="1"/>
  <c r="J36" i="16"/>
  <c r="M36" i="16" s="1"/>
  <c r="J37" i="16"/>
  <c r="M37" i="16" s="1"/>
  <c r="J38" i="16"/>
  <c r="L38" i="16" s="1"/>
  <c r="J39" i="16"/>
  <c r="L39" i="16" s="1"/>
  <c r="J40" i="16"/>
  <c r="J41" i="16"/>
  <c r="L32" i="16"/>
  <c r="G42" i="16"/>
  <c r="G31" i="16"/>
  <c r="G32" i="16"/>
  <c r="G33" i="16"/>
  <c r="G34" i="16"/>
  <c r="G35" i="16"/>
  <c r="G36" i="16"/>
  <c r="G37" i="16"/>
  <c r="G38" i="16"/>
  <c r="G39" i="16"/>
  <c r="G40" i="16"/>
  <c r="G41" i="16"/>
  <c r="F42" i="16"/>
  <c r="I42" i="16" s="1"/>
  <c r="F31" i="16"/>
  <c r="I31" i="16" s="1"/>
  <c r="F32" i="16"/>
  <c r="I32" i="16" s="1"/>
  <c r="F33" i="16"/>
  <c r="I33" i="16" s="1"/>
  <c r="F34" i="16"/>
  <c r="I34" i="16" s="1"/>
  <c r="F35" i="16"/>
  <c r="I35" i="16" s="1"/>
  <c r="F36" i="16"/>
  <c r="F37" i="16"/>
  <c r="I37" i="16" s="1"/>
  <c r="F38" i="16"/>
  <c r="I38" i="16" s="1"/>
  <c r="F39" i="16"/>
  <c r="I39" i="16" s="1"/>
  <c r="F40" i="16"/>
  <c r="I40" i="16" s="1"/>
  <c r="F41" i="16"/>
  <c r="I41" i="16" s="1"/>
  <c r="H42" i="16"/>
  <c r="H31" i="16"/>
  <c r="H32" i="16"/>
  <c r="H33" i="16"/>
  <c r="H34" i="16"/>
  <c r="H35" i="16"/>
  <c r="H36" i="16"/>
  <c r="H37" i="16"/>
  <c r="H38" i="16"/>
  <c r="H41" i="16"/>
  <c r="C42" i="16"/>
  <c r="C31" i="16"/>
  <c r="C32" i="16"/>
  <c r="C33" i="16"/>
  <c r="C34" i="16"/>
  <c r="C35" i="16"/>
  <c r="C36" i="16"/>
  <c r="C37" i="16"/>
  <c r="C38" i="16"/>
  <c r="C39" i="16"/>
  <c r="C40" i="16"/>
  <c r="C41" i="16"/>
  <c r="B42" i="16"/>
  <c r="E42" i="16" s="1"/>
  <c r="B31" i="16"/>
  <c r="B32" i="16"/>
  <c r="E32" i="16" s="1"/>
  <c r="B33" i="16"/>
  <c r="B34" i="16"/>
  <c r="E34" i="16" s="1"/>
  <c r="B35" i="16"/>
  <c r="B36" i="16"/>
  <c r="E36" i="16" s="1"/>
  <c r="B37" i="16"/>
  <c r="B38" i="16"/>
  <c r="E38" i="16" s="1"/>
  <c r="B39" i="16"/>
  <c r="D39" i="16" s="1"/>
  <c r="B40" i="16"/>
  <c r="E40" i="16" s="1"/>
  <c r="B41" i="16"/>
  <c r="D42" i="16"/>
  <c r="D31" i="16"/>
  <c r="D32" i="16"/>
  <c r="D33" i="16"/>
  <c r="D34" i="16"/>
  <c r="D35" i="16"/>
  <c r="D36" i="16"/>
  <c r="D37" i="16"/>
  <c r="J31" i="15"/>
  <c r="J32" i="15"/>
  <c r="J33" i="15"/>
  <c r="J34" i="15"/>
  <c r="J35" i="15"/>
  <c r="J36" i="15"/>
  <c r="J37" i="15"/>
  <c r="J38" i="15"/>
  <c r="J39" i="15"/>
  <c r="J40" i="15"/>
  <c r="J41" i="15"/>
  <c r="J42" i="15"/>
  <c r="K33" i="15"/>
  <c r="K34" i="15"/>
  <c r="K35" i="15"/>
  <c r="K37" i="15"/>
  <c r="K42" i="15"/>
  <c r="K31" i="15"/>
  <c r="K32" i="15"/>
  <c r="K36" i="15"/>
  <c r="K38" i="15"/>
  <c r="K39" i="15"/>
  <c r="K40" i="15"/>
  <c r="K41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G33" i="15"/>
  <c r="G34" i="15"/>
  <c r="G35" i="15"/>
  <c r="G37" i="15"/>
  <c r="G42" i="15"/>
  <c r="G31" i="15"/>
  <c r="G32" i="15"/>
  <c r="G36" i="15"/>
  <c r="G38" i="15"/>
  <c r="G39" i="15"/>
  <c r="G40" i="15"/>
  <c r="G41" i="15"/>
  <c r="B31" i="15"/>
  <c r="B32" i="15"/>
  <c r="B33" i="15"/>
  <c r="B34" i="15"/>
  <c r="D34" i="15" s="1"/>
  <c r="B35" i="15"/>
  <c r="B36" i="15"/>
  <c r="B37" i="15"/>
  <c r="B38" i="15"/>
  <c r="B39" i="15"/>
  <c r="B40" i="15"/>
  <c r="B41" i="15"/>
  <c r="B42" i="15"/>
  <c r="L22" i="18"/>
  <c r="M22" i="18" s="1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M20" i="18" s="1"/>
  <c r="L21" i="18"/>
  <c r="M21" i="18" s="1"/>
  <c r="K24" i="18"/>
  <c r="J25" i="18" s="1"/>
  <c r="K23" i="18"/>
  <c r="H22" i="18"/>
  <c r="I22" i="18" s="1"/>
  <c r="H11" i="18"/>
  <c r="I11" i="18" s="1"/>
  <c r="H12" i="18"/>
  <c r="I12" i="18" s="1"/>
  <c r="H13" i="18"/>
  <c r="I13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G24" i="18"/>
  <c r="F25" i="18" s="1"/>
  <c r="G23" i="18"/>
  <c r="D22" i="18"/>
  <c r="E22" i="18" s="1"/>
  <c r="D11" i="18"/>
  <c r="E11" i="18" s="1"/>
  <c r="D12" i="18"/>
  <c r="E12" i="18" s="1"/>
  <c r="D13" i="18"/>
  <c r="E13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C24" i="18"/>
  <c r="B25" i="18" s="1"/>
  <c r="C23" i="18"/>
  <c r="L22" i="17"/>
  <c r="M22" i="17" s="1"/>
  <c r="L11" i="17"/>
  <c r="L12" i="17"/>
  <c r="M12" i="17" s="1"/>
  <c r="L13" i="17"/>
  <c r="M13" i="17" s="1"/>
  <c r="L14" i="17"/>
  <c r="M14" i="17" s="1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K24" i="17"/>
  <c r="J25" i="17" s="1"/>
  <c r="K23" i="17"/>
  <c r="H22" i="17"/>
  <c r="I22" i="17" s="1"/>
  <c r="H11" i="17"/>
  <c r="H12" i="17"/>
  <c r="I12" i="17" s="1"/>
  <c r="H13" i="17"/>
  <c r="I13" i="17" s="1"/>
  <c r="H14" i="17"/>
  <c r="I14" i="17" s="1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G24" i="17"/>
  <c r="F25" i="17" s="1"/>
  <c r="G23" i="17"/>
  <c r="D22" i="17"/>
  <c r="E22" i="17" s="1"/>
  <c r="D11" i="17"/>
  <c r="E11" i="17" s="1"/>
  <c r="D12" i="17"/>
  <c r="E12" i="17" s="1"/>
  <c r="D13" i="17"/>
  <c r="E13" i="17" s="1"/>
  <c r="D14" i="17"/>
  <c r="E14" i="17" s="1"/>
  <c r="D15" i="17"/>
  <c r="D16" i="17"/>
  <c r="E16" i="17" s="1"/>
  <c r="D17" i="17"/>
  <c r="E17" i="17" s="1"/>
  <c r="D18" i="17"/>
  <c r="E18" i="17" s="1"/>
  <c r="D19" i="17"/>
  <c r="E19" i="17" s="1"/>
  <c r="D20" i="17"/>
  <c r="E20" i="17" s="1"/>
  <c r="D21" i="17"/>
  <c r="E21" i="17" s="1"/>
  <c r="C24" i="17"/>
  <c r="B25" i="17" s="1"/>
  <c r="C23" i="17"/>
  <c r="L22" i="16"/>
  <c r="M22" i="16" s="1"/>
  <c r="L11" i="16"/>
  <c r="M11" i="16" s="1"/>
  <c r="L12" i="16"/>
  <c r="M12" i="16" s="1"/>
  <c r="L13" i="16"/>
  <c r="M13" i="16" s="1"/>
  <c r="L14" i="16"/>
  <c r="M14" i="16" s="1"/>
  <c r="L15" i="16"/>
  <c r="M15" i="16" s="1"/>
  <c r="L16" i="16"/>
  <c r="L17" i="16"/>
  <c r="M17" i="16" s="1"/>
  <c r="L18" i="16"/>
  <c r="M18" i="16" s="1"/>
  <c r="L19" i="16"/>
  <c r="M19" i="16" s="1"/>
  <c r="L20" i="16"/>
  <c r="M20" i="16" s="1"/>
  <c r="L21" i="16"/>
  <c r="M21" i="16" s="1"/>
  <c r="K24" i="16"/>
  <c r="J25" i="16" s="1"/>
  <c r="K23" i="16"/>
  <c r="H22" i="16"/>
  <c r="I22" i="16" s="1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G24" i="16"/>
  <c r="F25" i="16" s="1"/>
  <c r="G23" i="16"/>
  <c r="D22" i="16"/>
  <c r="E22" i="16" s="1"/>
  <c r="D11" i="16"/>
  <c r="E11" i="16" s="1"/>
  <c r="D12" i="16"/>
  <c r="E12" i="16" s="1"/>
  <c r="D13" i="16"/>
  <c r="E13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E20" i="16" s="1"/>
  <c r="D21" i="16"/>
  <c r="E21" i="16" s="1"/>
  <c r="C24" i="16"/>
  <c r="B25" i="16" s="1"/>
  <c r="C23" i="16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K24" i="15"/>
  <c r="J25" i="15" s="1"/>
  <c r="H11" i="15"/>
  <c r="I11" i="15" s="1"/>
  <c r="H12" i="15"/>
  <c r="I12" i="15" s="1"/>
  <c r="H13" i="15"/>
  <c r="I13" i="15" s="1"/>
  <c r="H14" i="15"/>
  <c r="I14" i="15" s="1"/>
  <c r="H15" i="15"/>
  <c r="I15" i="15" s="1"/>
  <c r="H16" i="15"/>
  <c r="H17" i="15"/>
  <c r="I17" i="15" s="1"/>
  <c r="H18" i="15"/>
  <c r="I18" i="15" s="1"/>
  <c r="H19" i="15"/>
  <c r="I19" i="15" s="1"/>
  <c r="H20" i="15"/>
  <c r="I20" i="15" s="1"/>
  <c r="H21" i="15"/>
  <c r="I21" i="15" s="1"/>
  <c r="H22" i="15"/>
  <c r="I22" i="15" s="1"/>
  <c r="G24" i="15"/>
  <c r="F25" i="15" s="1"/>
  <c r="E12" i="15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D21" i="15"/>
  <c r="E21" i="15" s="1"/>
  <c r="D22" i="15"/>
  <c r="E22" i="15" s="1"/>
  <c r="C24" i="15"/>
  <c r="B25" i="15" s="1"/>
  <c r="M36" i="17"/>
  <c r="M38" i="17"/>
  <c r="M41" i="16"/>
  <c r="E15" i="17"/>
  <c r="S29" i="15"/>
  <c r="K23" i="15"/>
  <c r="G23" i="15"/>
  <c r="C23" i="15"/>
  <c r="F29" i="16"/>
  <c r="G29" i="17"/>
  <c r="C29" i="18"/>
  <c r="O29" i="20"/>
  <c r="O9" i="20"/>
  <c r="K29" i="21"/>
  <c r="G30" i="22"/>
  <c r="O29" i="15"/>
  <c r="N29" i="15"/>
  <c r="K29" i="15"/>
  <c r="J29" i="15"/>
  <c r="G29" i="15"/>
  <c r="F29" i="15"/>
  <c r="C29" i="15"/>
  <c r="B29" i="15"/>
  <c r="O9" i="15"/>
  <c r="N9" i="15"/>
  <c r="K9" i="15"/>
  <c r="J9" i="15"/>
  <c r="G9" i="18"/>
  <c r="F9" i="15"/>
  <c r="B10" i="16"/>
  <c r="C10" i="15"/>
  <c r="C10" i="16"/>
  <c r="C10" i="17"/>
  <c r="C10" i="18"/>
  <c r="B10" i="18"/>
  <c r="C11" i="22"/>
  <c r="R44" i="22"/>
  <c r="B11" i="22" s="1"/>
  <c r="C10" i="20"/>
  <c r="R43" i="20"/>
  <c r="B10" i="20" s="1"/>
  <c r="C10" i="21"/>
  <c r="R43" i="21"/>
  <c r="B10" i="21" s="1"/>
  <c r="R30" i="22" l="1"/>
  <c r="B16" i="22"/>
  <c r="J20" i="22"/>
  <c r="K9" i="21"/>
  <c r="G18" i="22"/>
  <c r="G38" i="22" s="1"/>
  <c r="F13" i="22"/>
  <c r="F19" i="22"/>
  <c r="H19" i="22" s="1"/>
  <c r="I19" i="22" s="1"/>
  <c r="F21" i="22"/>
  <c r="L32" i="28"/>
  <c r="M32" i="28" s="1"/>
  <c r="F9" i="21"/>
  <c r="C29" i="21"/>
  <c r="K9" i="18"/>
  <c r="K29" i="18"/>
  <c r="N9" i="16"/>
  <c r="N29" i="16"/>
  <c r="R29" i="18"/>
  <c r="S29" i="21"/>
  <c r="K18" i="22"/>
  <c r="K20" i="22"/>
  <c r="K40" i="22" s="1"/>
  <c r="P22" i="26"/>
  <c r="Q22" i="26" s="1"/>
  <c r="F17" i="22"/>
  <c r="E35" i="15"/>
  <c r="K9" i="25"/>
  <c r="K14" i="22"/>
  <c r="K34" i="22" s="1"/>
  <c r="C21" i="22"/>
  <c r="O21" i="22" s="1"/>
  <c r="O41" i="22" s="1"/>
  <c r="B15" i="22"/>
  <c r="J18" i="22"/>
  <c r="J22" i="22"/>
  <c r="F12" i="22"/>
  <c r="F14" i="22"/>
  <c r="F15" i="22"/>
  <c r="F18" i="22"/>
  <c r="F22" i="22"/>
  <c r="F9" i="16"/>
  <c r="O9" i="21"/>
  <c r="G29" i="21"/>
  <c r="O29" i="21"/>
  <c r="O9" i="18"/>
  <c r="G29" i="18"/>
  <c r="O29" i="18"/>
  <c r="J9" i="16"/>
  <c r="B29" i="16"/>
  <c r="J29" i="16"/>
  <c r="B29" i="26"/>
  <c r="S29" i="28"/>
  <c r="C16" i="22"/>
  <c r="C36" i="22" s="1"/>
  <c r="K21" i="22"/>
  <c r="K41" i="22" s="1"/>
  <c r="J16" i="22"/>
  <c r="J17" i="22"/>
  <c r="J19" i="22"/>
  <c r="J21" i="22"/>
  <c r="F9" i="18"/>
  <c r="G9" i="16"/>
  <c r="J9" i="21"/>
  <c r="N9" i="21"/>
  <c r="B29" i="21"/>
  <c r="F29" i="21"/>
  <c r="J29" i="21"/>
  <c r="N29" i="21"/>
  <c r="J9" i="18"/>
  <c r="N9" i="18"/>
  <c r="B29" i="18"/>
  <c r="F29" i="18"/>
  <c r="J29" i="18"/>
  <c r="K9" i="16"/>
  <c r="O9" i="16"/>
  <c r="C29" i="16"/>
  <c r="G29" i="16"/>
  <c r="K29" i="16"/>
  <c r="O29" i="16"/>
  <c r="R29" i="26"/>
  <c r="C29" i="28"/>
  <c r="G21" i="22"/>
  <c r="G41" i="22" s="1"/>
  <c r="C20" i="22"/>
  <c r="K19" i="22"/>
  <c r="K39" i="22" s="1"/>
  <c r="K17" i="22"/>
  <c r="K37" i="22" s="1"/>
  <c r="C17" i="22"/>
  <c r="C37" i="22" s="1"/>
  <c r="G16" i="22"/>
  <c r="G36" i="22" s="1"/>
  <c r="G14" i="22"/>
  <c r="G34" i="22" s="1"/>
  <c r="G13" i="22"/>
  <c r="F33" i="22" s="1"/>
  <c r="D35" i="15"/>
  <c r="D38" i="26"/>
  <c r="E38" i="26" s="1"/>
  <c r="K38" i="20"/>
  <c r="K12" i="22"/>
  <c r="K32" i="22" s="1"/>
  <c r="K13" i="22"/>
  <c r="K33" i="22" s="1"/>
  <c r="L14" i="21"/>
  <c r="M14" i="21" s="1"/>
  <c r="I38" i="15"/>
  <c r="H13" i="20"/>
  <c r="I13" i="20" s="1"/>
  <c r="G12" i="22"/>
  <c r="G32" i="22" s="1"/>
  <c r="G17" i="22"/>
  <c r="G37" i="22" s="1"/>
  <c r="C14" i="22"/>
  <c r="C34" i="22" s="1"/>
  <c r="C18" i="22"/>
  <c r="J12" i="22"/>
  <c r="J13" i="22"/>
  <c r="J14" i="22"/>
  <c r="J34" i="22" s="1"/>
  <c r="M34" i="22" s="1"/>
  <c r="J15" i="22"/>
  <c r="F16" i="22"/>
  <c r="E39" i="16"/>
  <c r="B12" i="22"/>
  <c r="B13" i="22"/>
  <c r="N13" i="22" s="1"/>
  <c r="B14" i="22"/>
  <c r="N14" i="22" s="1"/>
  <c r="B17" i="22"/>
  <c r="B18" i="22"/>
  <c r="B38" i="22" s="1"/>
  <c r="B19" i="22"/>
  <c r="B20" i="22"/>
  <c r="D20" i="22" s="1"/>
  <c r="E20" i="22" s="1"/>
  <c r="B21" i="22"/>
  <c r="B22" i="22"/>
  <c r="N22" i="22" s="1"/>
  <c r="O10" i="22"/>
  <c r="O30" i="22"/>
  <c r="G29" i="20"/>
  <c r="O9" i="17"/>
  <c r="O29" i="17"/>
  <c r="S29" i="25"/>
  <c r="C29" i="25"/>
  <c r="G22" i="22"/>
  <c r="G42" i="22" s="1"/>
  <c r="H42" i="22" s="1"/>
  <c r="I39" i="17"/>
  <c r="D38" i="15"/>
  <c r="E37" i="15"/>
  <c r="H17" i="20"/>
  <c r="I17" i="20" s="1"/>
  <c r="D36" i="15"/>
  <c r="M34" i="17"/>
  <c r="H12" i="21"/>
  <c r="I12" i="21" s="1"/>
  <c r="C12" i="22"/>
  <c r="C32" i="22" s="1"/>
  <c r="H37" i="27"/>
  <c r="I37" i="27" s="1"/>
  <c r="I36" i="16"/>
  <c r="I40" i="15"/>
  <c r="I32" i="15"/>
  <c r="P13" i="15"/>
  <c r="Q13" i="15" s="1"/>
  <c r="C13" i="22"/>
  <c r="L23" i="22"/>
  <c r="M23" i="22" s="1"/>
  <c r="L18" i="21"/>
  <c r="M18" i="21" s="1"/>
  <c r="L18" i="20"/>
  <c r="M18" i="20" s="1"/>
  <c r="J41" i="20"/>
  <c r="F41" i="20"/>
  <c r="I42" i="15"/>
  <c r="H42" i="15"/>
  <c r="M42" i="15"/>
  <c r="L34" i="26"/>
  <c r="M34" i="26" s="1"/>
  <c r="M33" i="17"/>
  <c r="M33" i="18"/>
  <c r="E33" i="15"/>
  <c r="E31" i="16"/>
  <c r="E31" i="15"/>
  <c r="M40" i="17"/>
  <c r="G10" i="22"/>
  <c r="G9" i="20"/>
  <c r="G9" i="17"/>
  <c r="K10" i="22"/>
  <c r="C30" i="22"/>
  <c r="K30" i="22"/>
  <c r="K9" i="20"/>
  <c r="C29" i="20"/>
  <c r="K29" i="20"/>
  <c r="K9" i="17"/>
  <c r="C29" i="17"/>
  <c r="K29" i="17"/>
  <c r="O29" i="25"/>
  <c r="G29" i="25"/>
  <c r="O9" i="25"/>
  <c r="F10" i="22"/>
  <c r="F9" i="20"/>
  <c r="F9" i="17"/>
  <c r="R29" i="20"/>
  <c r="F42" i="21"/>
  <c r="I42" i="21" s="1"/>
  <c r="H22" i="20"/>
  <c r="I22" i="20" s="1"/>
  <c r="G41" i="20"/>
  <c r="H20" i="20"/>
  <c r="I20" i="20" s="1"/>
  <c r="L20" i="20"/>
  <c r="M20" i="20" s="1"/>
  <c r="H40" i="15"/>
  <c r="M39" i="17"/>
  <c r="G44" i="16"/>
  <c r="C19" i="22"/>
  <c r="D19" i="22" s="1"/>
  <c r="E19" i="22" s="1"/>
  <c r="J38" i="20"/>
  <c r="L38" i="20" s="1"/>
  <c r="F37" i="21"/>
  <c r="H37" i="21" s="1"/>
  <c r="I37" i="18"/>
  <c r="E36" i="15"/>
  <c r="K16" i="22"/>
  <c r="K36" i="22" s="1"/>
  <c r="F35" i="20"/>
  <c r="G15" i="22"/>
  <c r="G35" i="22" s="1"/>
  <c r="K15" i="22"/>
  <c r="K35" i="22" s="1"/>
  <c r="C15" i="22"/>
  <c r="D33" i="27"/>
  <c r="E33" i="27" s="1"/>
  <c r="M32" i="17"/>
  <c r="H32" i="15"/>
  <c r="M31" i="17"/>
  <c r="I31" i="17"/>
  <c r="F31" i="20"/>
  <c r="I31" i="20" s="1"/>
  <c r="E40" i="15"/>
  <c r="E32" i="15"/>
  <c r="I34" i="15"/>
  <c r="M34" i="15"/>
  <c r="G44" i="17"/>
  <c r="E35" i="16"/>
  <c r="I35" i="17"/>
  <c r="E36" i="18"/>
  <c r="M37" i="18"/>
  <c r="D40" i="15"/>
  <c r="D32" i="15"/>
  <c r="H36" i="15"/>
  <c r="D32" i="25"/>
  <c r="E32" i="25" s="1"/>
  <c r="L34" i="15"/>
  <c r="K44" i="17"/>
  <c r="M39" i="18"/>
  <c r="M35" i="18"/>
  <c r="M31" i="18"/>
  <c r="P18" i="17"/>
  <c r="Q18" i="17" s="1"/>
  <c r="L12" i="20"/>
  <c r="M12" i="20" s="1"/>
  <c r="J32" i="20"/>
  <c r="J32" i="21"/>
  <c r="M32" i="21" s="1"/>
  <c r="P20" i="26"/>
  <c r="Q20" i="26" s="1"/>
  <c r="P14" i="26"/>
  <c r="Q14" i="26" s="1"/>
  <c r="P12" i="26"/>
  <c r="Q12" i="26" s="1"/>
  <c r="L40" i="26"/>
  <c r="M40" i="26" s="1"/>
  <c r="L36" i="26"/>
  <c r="M36" i="26" s="1"/>
  <c r="L32" i="26"/>
  <c r="M32" i="26" s="1"/>
  <c r="H37" i="25"/>
  <c r="I37" i="25" s="1"/>
  <c r="P19" i="26"/>
  <c r="Q19" i="26" s="1"/>
  <c r="I36" i="15"/>
  <c r="G44" i="18"/>
  <c r="I41" i="17"/>
  <c r="I37" i="17"/>
  <c r="I33" i="17"/>
  <c r="P11" i="16"/>
  <c r="Q11" i="16" s="1"/>
  <c r="O24" i="18"/>
  <c r="N25" i="18" s="1"/>
  <c r="N33" i="27"/>
  <c r="T33" i="27" s="1"/>
  <c r="P11" i="25"/>
  <c r="Q11" i="25" s="1"/>
  <c r="E42" i="15"/>
  <c r="E38" i="15"/>
  <c r="E34" i="15"/>
  <c r="C44" i="16"/>
  <c r="E41" i="16"/>
  <c r="E37" i="16"/>
  <c r="E33" i="16"/>
  <c r="E32" i="18"/>
  <c r="D42" i="15"/>
  <c r="P17" i="15"/>
  <c r="Q17" i="15" s="1"/>
  <c r="P17" i="16"/>
  <c r="Q17" i="16" s="1"/>
  <c r="P20" i="17"/>
  <c r="Q20" i="17" s="1"/>
  <c r="P16" i="17"/>
  <c r="Q16" i="17" s="1"/>
  <c r="P11" i="18"/>
  <c r="Q11" i="18" s="1"/>
  <c r="B40" i="20"/>
  <c r="D40" i="20" s="1"/>
  <c r="D14" i="21"/>
  <c r="E14" i="21" s="1"/>
  <c r="B36" i="21"/>
  <c r="P14" i="18"/>
  <c r="Q14" i="18" s="1"/>
  <c r="P17" i="18"/>
  <c r="Q17" i="18" s="1"/>
  <c r="P20" i="18"/>
  <c r="Q20" i="18" s="1"/>
  <c r="P12" i="17"/>
  <c r="Q12" i="17" s="1"/>
  <c r="P15" i="17"/>
  <c r="Q15" i="17" s="1"/>
  <c r="P17" i="17"/>
  <c r="Q17" i="17" s="1"/>
  <c r="N38" i="17"/>
  <c r="T38" i="17" s="1"/>
  <c r="P19" i="17"/>
  <c r="Q19" i="17" s="1"/>
  <c r="P21" i="17"/>
  <c r="Q21" i="17" s="1"/>
  <c r="N42" i="17"/>
  <c r="T42" i="17" s="1"/>
  <c r="N31" i="16"/>
  <c r="P31" i="16" s="1"/>
  <c r="P12" i="16"/>
  <c r="Q12" i="16" s="1"/>
  <c r="P13" i="16"/>
  <c r="Q13" i="16" s="1"/>
  <c r="P15" i="16"/>
  <c r="Q15" i="16" s="1"/>
  <c r="N39" i="16"/>
  <c r="T39" i="16" s="1"/>
  <c r="P21" i="16"/>
  <c r="Q21" i="16" s="1"/>
  <c r="P11" i="15"/>
  <c r="Q11" i="15" s="1"/>
  <c r="P14" i="15"/>
  <c r="Q14" i="15" s="1"/>
  <c r="P15" i="15"/>
  <c r="Q15" i="15" s="1"/>
  <c r="P16" i="15"/>
  <c r="Q16" i="15" s="1"/>
  <c r="P18" i="15"/>
  <c r="Q18" i="15" s="1"/>
  <c r="N40" i="15"/>
  <c r="T40" i="15" s="1"/>
  <c r="P22" i="15"/>
  <c r="Q22" i="15" s="1"/>
  <c r="D36" i="27"/>
  <c r="E36" i="27" s="1"/>
  <c r="N36" i="27"/>
  <c r="T36" i="27" s="1"/>
  <c r="D38" i="28"/>
  <c r="E38" i="28" s="1"/>
  <c r="P19" i="25"/>
  <c r="Q19" i="25" s="1"/>
  <c r="D39" i="25"/>
  <c r="E39" i="25" s="1"/>
  <c r="M38" i="18"/>
  <c r="M36" i="18"/>
  <c r="M34" i="18"/>
  <c r="P20" i="15"/>
  <c r="Q20" i="15" s="1"/>
  <c r="P21" i="25"/>
  <c r="Q21" i="25" s="1"/>
  <c r="H39" i="15"/>
  <c r="D37" i="15"/>
  <c r="D33" i="15"/>
  <c r="D31" i="15"/>
  <c r="P19" i="16"/>
  <c r="Q19" i="16" s="1"/>
  <c r="P22" i="17"/>
  <c r="Q22" i="17" s="1"/>
  <c r="B41" i="22"/>
  <c r="D22" i="22"/>
  <c r="E22" i="22" s="1"/>
  <c r="B34" i="21"/>
  <c r="D34" i="21" s="1"/>
  <c r="D13" i="20"/>
  <c r="E13" i="20" s="1"/>
  <c r="D21" i="20"/>
  <c r="E21" i="20" s="1"/>
  <c r="P11" i="26"/>
  <c r="Q11" i="26" s="1"/>
  <c r="N42" i="25"/>
  <c r="T42" i="25" s="1"/>
  <c r="O23" i="17"/>
  <c r="K41" i="20"/>
  <c r="M41" i="20" s="1"/>
  <c r="D23" i="27"/>
  <c r="P21" i="27"/>
  <c r="Q21" i="27" s="1"/>
  <c r="L41" i="26"/>
  <c r="M41" i="26" s="1"/>
  <c r="O24" i="26"/>
  <c r="O23" i="18"/>
  <c r="O23" i="16"/>
  <c r="O24" i="16"/>
  <c r="N25" i="16" s="1"/>
  <c r="L41" i="20"/>
  <c r="C44" i="15"/>
  <c r="U31" i="16"/>
  <c r="Q31" i="16"/>
  <c r="H41" i="15"/>
  <c r="H34" i="15"/>
  <c r="I41" i="15"/>
  <c r="H37" i="15"/>
  <c r="L37" i="15"/>
  <c r="D34" i="18"/>
  <c r="H41" i="18"/>
  <c r="J29" i="26"/>
  <c r="J9" i="26"/>
  <c r="K29" i="28"/>
  <c r="K9" i="28"/>
  <c r="L22" i="20"/>
  <c r="M22" i="20" s="1"/>
  <c r="D16" i="21"/>
  <c r="E16" i="21" s="1"/>
  <c r="D12" i="21"/>
  <c r="E12" i="21" s="1"/>
  <c r="L21" i="21"/>
  <c r="M21" i="21" s="1"/>
  <c r="L16" i="21"/>
  <c r="M16" i="21" s="1"/>
  <c r="L12" i="21"/>
  <c r="M12" i="21" s="1"/>
  <c r="B33" i="20"/>
  <c r="D33" i="20" s="1"/>
  <c r="J34" i="20"/>
  <c r="L34" i="20" s="1"/>
  <c r="B42" i="21"/>
  <c r="E42" i="21" s="1"/>
  <c r="J36" i="21"/>
  <c r="L36" i="21" s="1"/>
  <c r="G24" i="21"/>
  <c r="F24" i="21" s="1"/>
  <c r="H18" i="21"/>
  <c r="I18" i="21" s="1"/>
  <c r="H11" i="20"/>
  <c r="I11" i="20" s="1"/>
  <c r="F33" i="20"/>
  <c r="H33" i="20" s="1"/>
  <c r="H15" i="20"/>
  <c r="I15" i="20" s="1"/>
  <c r="F37" i="20"/>
  <c r="I37" i="20" s="1"/>
  <c r="N37" i="27"/>
  <c r="T37" i="27" s="1"/>
  <c r="H39" i="26"/>
  <c r="I39" i="26" s="1"/>
  <c r="P19" i="27"/>
  <c r="Q19" i="27" s="1"/>
  <c r="P13" i="27"/>
  <c r="Q13" i="27" s="1"/>
  <c r="O24" i="27"/>
  <c r="D38" i="27"/>
  <c r="E38" i="27" s="1"/>
  <c r="H31" i="27"/>
  <c r="I31" i="27" s="1"/>
  <c r="L31" i="27"/>
  <c r="M31" i="27" s="1"/>
  <c r="N40" i="27"/>
  <c r="T40" i="27" s="1"/>
  <c r="N35" i="27"/>
  <c r="T35" i="27" s="1"/>
  <c r="P17" i="28"/>
  <c r="Q17" i="28" s="1"/>
  <c r="L41" i="28"/>
  <c r="M41" i="28" s="1"/>
  <c r="D42" i="25"/>
  <c r="E42" i="25" s="1"/>
  <c r="D34" i="25"/>
  <c r="E34" i="25" s="1"/>
  <c r="H42" i="25"/>
  <c r="I42" i="25" s="1"/>
  <c r="H40" i="25"/>
  <c r="I40" i="25" s="1"/>
  <c r="H34" i="25"/>
  <c r="I34" i="25" s="1"/>
  <c r="P21" i="26"/>
  <c r="Q21" i="26" s="1"/>
  <c r="P17" i="26"/>
  <c r="Q17" i="26" s="1"/>
  <c r="P15" i="26"/>
  <c r="Q15" i="26" s="1"/>
  <c r="P13" i="26"/>
  <c r="Q13" i="26" s="1"/>
  <c r="D37" i="26"/>
  <c r="E37" i="26" s="1"/>
  <c r="H31" i="26"/>
  <c r="I31" i="26" s="1"/>
  <c r="L33" i="26"/>
  <c r="M33" i="26" s="1"/>
  <c r="H20" i="21"/>
  <c r="I20" i="21" s="1"/>
  <c r="L40" i="25"/>
  <c r="M40" i="25" s="1"/>
  <c r="D40" i="28"/>
  <c r="E40" i="28" s="1"/>
  <c r="L40" i="27"/>
  <c r="M40" i="27" s="1"/>
  <c r="H40" i="27"/>
  <c r="I40" i="27" s="1"/>
  <c r="E40" i="18"/>
  <c r="D40" i="18"/>
  <c r="G24" i="20"/>
  <c r="F25" i="20" s="1"/>
  <c r="F39" i="20"/>
  <c r="H39" i="20" s="1"/>
  <c r="D19" i="20"/>
  <c r="E19" i="20" s="1"/>
  <c r="L39" i="28"/>
  <c r="M39" i="28" s="1"/>
  <c r="H39" i="28"/>
  <c r="I39" i="28" s="1"/>
  <c r="J39" i="21"/>
  <c r="L39" i="21" s="1"/>
  <c r="N39" i="17"/>
  <c r="P39" i="17" s="1"/>
  <c r="D39" i="15"/>
  <c r="L38" i="27"/>
  <c r="M38" i="27" s="1"/>
  <c r="L38" i="25"/>
  <c r="M38" i="25" s="1"/>
  <c r="G38" i="21"/>
  <c r="D18" i="21"/>
  <c r="E18" i="21" s="1"/>
  <c r="B38" i="21"/>
  <c r="E38" i="21" s="1"/>
  <c r="D38" i="18"/>
  <c r="L38" i="17"/>
  <c r="L23" i="16"/>
  <c r="H37" i="28"/>
  <c r="I37" i="28" s="1"/>
  <c r="O37" i="27"/>
  <c r="U37" i="27" s="1"/>
  <c r="K24" i="20"/>
  <c r="J25" i="20" s="1"/>
  <c r="P17" i="25"/>
  <c r="Q17" i="25" s="1"/>
  <c r="H37" i="18"/>
  <c r="D17" i="20"/>
  <c r="E17" i="20" s="1"/>
  <c r="B37" i="20"/>
  <c r="D37" i="20" s="1"/>
  <c r="D36" i="26"/>
  <c r="E36" i="26" s="1"/>
  <c r="L36" i="25"/>
  <c r="M36" i="25" s="1"/>
  <c r="F44" i="25"/>
  <c r="H16" i="21"/>
  <c r="I16" i="21" s="1"/>
  <c r="D36" i="28"/>
  <c r="E36" i="28" s="1"/>
  <c r="L36" i="27"/>
  <c r="M36" i="27" s="1"/>
  <c r="P16" i="27"/>
  <c r="Q16" i="27" s="1"/>
  <c r="L16" i="20"/>
  <c r="M16" i="20" s="1"/>
  <c r="J36" i="20"/>
  <c r="L36" i="20" s="1"/>
  <c r="E36" i="17"/>
  <c r="L35" i="26"/>
  <c r="M35" i="26" s="1"/>
  <c r="G35" i="20"/>
  <c r="G44" i="20" s="1"/>
  <c r="P15" i="25"/>
  <c r="Q15" i="25" s="1"/>
  <c r="K23" i="20"/>
  <c r="B35" i="20"/>
  <c r="D35" i="20" s="1"/>
  <c r="D15" i="20"/>
  <c r="E15" i="20" s="1"/>
  <c r="L34" i="28"/>
  <c r="M34" i="28" s="1"/>
  <c r="D34" i="28"/>
  <c r="E34" i="28" s="1"/>
  <c r="L23" i="27"/>
  <c r="D34" i="26"/>
  <c r="E34" i="26" s="1"/>
  <c r="N24" i="26"/>
  <c r="L14" i="20"/>
  <c r="M14" i="20" s="1"/>
  <c r="C43" i="15"/>
  <c r="F23" i="28"/>
  <c r="L33" i="27"/>
  <c r="M33" i="27" s="1"/>
  <c r="B23" i="27"/>
  <c r="J23" i="25"/>
  <c r="N33" i="15"/>
  <c r="Q33" i="15" s="1"/>
  <c r="O23" i="28"/>
  <c r="B32" i="21"/>
  <c r="E32" i="21" s="1"/>
  <c r="H32" i="27"/>
  <c r="I32" i="27" s="1"/>
  <c r="D12" i="20"/>
  <c r="E12" i="20" s="1"/>
  <c r="G23" i="21"/>
  <c r="F32" i="21"/>
  <c r="H32" i="21" s="1"/>
  <c r="L32" i="25"/>
  <c r="M32" i="25" s="1"/>
  <c r="F23" i="25"/>
  <c r="B44" i="25"/>
  <c r="B23" i="25"/>
  <c r="L23" i="17"/>
  <c r="K23" i="21"/>
  <c r="N32" i="16"/>
  <c r="T32" i="16" s="1"/>
  <c r="H23" i="17"/>
  <c r="C23" i="20"/>
  <c r="C24" i="20"/>
  <c r="B25" i="20" s="1"/>
  <c r="B32" i="20"/>
  <c r="E32" i="20" s="1"/>
  <c r="L31" i="26"/>
  <c r="M31" i="26" s="1"/>
  <c r="C24" i="21"/>
  <c r="B24" i="21" s="1"/>
  <c r="D31" i="26"/>
  <c r="E31" i="26" s="1"/>
  <c r="O23" i="26"/>
  <c r="K44" i="25"/>
  <c r="K43" i="25" s="1"/>
  <c r="N31" i="18"/>
  <c r="Q31" i="18" s="1"/>
  <c r="L31" i="15"/>
  <c r="H31" i="15"/>
  <c r="H35" i="27"/>
  <c r="I35" i="27" s="1"/>
  <c r="K44" i="26"/>
  <c r="K43" i="26" s="1"/>
  <c r="J34" i="21"/>
  <c r="M34" i="21" s="1"/>
  <c r="L14" i="22"/>
  <c r="M14" i="22" s="1"/>
  <c r="L18" i="22"/>
  <c r="M18" i="22" s="1"/>
  <c r="L22" i="22"/>
  <c r="M22" i="22" s="1"/>
  <c r="J31" i="21"/>
  <c r="M31" i="21" s="1"/>
  <c r="J33" i="21"/>
  <c r="M33" i="21" s="1"/>
  <c r="J35" i="21"/>
  <c r="M35" i="21" s="1"/>
  <c r="L17" i="21"/>
  <c r="M17" i="21" s="1"/>
  <c r="J38" i="21"/>
  <c r="M38" i="21" s="1"/>
  <c r="L19" i="21"/>
  <c r="M19" i="21" s="1"/>
  <c r="J41" i="21"/>
  <c r="L22" i="21"/>
  <c r="M22" i="21" s="1"/>
  <c r="J31" i="20"/>
  <c r="J33" i="20"/>
  <c r="L33" i="20" s="1"/>
  <c r="J35" i="20"/>
  <c r="M35" i="20" s="1"/>
  <c r="J37" i="20"/>
  <c r="M37" i="20" s="1"/>
  <c r="D18" i="20"/>
  <c r="E18" i="20" s="1"/>
  <c r="J39" i="20"/>
  <c r="M39" i="20" s="1"/>
  <c r="B39" i="20"/>
  <c r="E39" i="20" s="1"/>
  <c r="D20" i="20"/>
  <c r="E20" i="20" s="1"/>
  <c r="L21" i="20"/>
  <c r="M21" i="20" s="1"/>
  <c r="I41" i="20"/>
  <c r="J42" i="20"/>
  <c r="M42" i="20" s="1"/>
  <c r="P11" i="27"/>
  <c r="Q11" i="27" s="1"/>
  <c r="U37" i="18"/>
  <c r="U31" i="17"/>
  <c r="U33" i="15"/>
  <c r="K44" i="15"/>
  <c r="M38" i="15"/>
  <c r="M16" i="16"/>
  <c r="K44" i="16"/>
  <c r="K44" i="18"/>
  <c r="M42" i="16"/>
  <c r="M40" i="16"/>
  <c r="M32" i="16"/>
  <c r="M41" i="18"/>
  <c r="L38" i="15"/>
  <c r="L42" i="15"/>
  <c r="O24" i="17"/>
  <c r="N25" i="17" s="1"/>
  <c r="P13" i="17"/>
  <c r="Q13" i="17" s="1"/>
  <c r="P11" i="17"/>
  <c r="Q11" i="17" s="1"/>
  <c r="P21" i="18"/>
  <c r="Q21" i="18" s="1"/>
  <c r="P19" i="18"/>
  <c r="Q19" i="18" s="1"/>
  <c r="P15" i="18"/>
  <c r="Q15" i="18" s="1"/>
  <c r="P13" i="18"/>
  <c r="Q13" i="18" s="1"/>
  <c r="P22" i="18"/>
  <c r="Q22" i="18" s="1"/>
  <c r="L40" i="15"/>
  <c r="L36" i="15"/>
  <c r="L32" i="15"/>
  <c r="L36" i="16"/>
  <c r="L34" i="17"/>
  <c r="L41" i="18"/>
  <c r="U35" i="27"/>
  <c r="U36" i="27"/>
  <c r="N33" i="18"/>
  <c r="P33" i="18" s="1"/>
  <c r="N37" i="18"/>
  <c r="Q37" i="18" s="1"/>
  <c r="N39" i="18"/>
  <c r="T39" i="18" s="1"/>
  <c r="N31" i="17"/>
  <c r="P31" i="17" s="1"/>
  <c r="N32" i="17"/>
  <c r="T32" i="17" s="1"/>
  <c r="N35" i="16"/>
  <c r="T35" i="16" s="1"/>
  <c r="N34" i="15"/>
  <c r="T34" i="15" s="1"/>
  <c r="L41" i="27"/>
  <c r="M41" i="27" s="1"/>
  <c r="L39" i="27"/>
  <c r="M39" i="27" s="1"/>
  <c r="L37" i="27"/>
  <c r="M37" i="27" s="1"/>
  <c r="L35" i="27"/>
  <c r="M35" i="27" s="1"/>
  <c r="L32" i="27"/>
  <c r="M32" i="27" s="1"/>
  <c r="J23" i="27"/>
  <c r="N38" i="27"/>
  <c r="T38" i="27" s="1"/>
  <c r="L40" i="28"/>
  <c r="M40" i="28" s="1"/>
  <c r="L38" i="28"/>
  <c r="M38" i="28" s="1"/>
  <c r="L36" i="28"/>
  <c r="M36" i="28" s="1"/>
  <c r="J23" i="28"/>
  <c r="O24" i="25"/>
  <c r="J23" i="26"/>
  <c r="H39" i="17"/>
  <c r="H39" i="18"/>
  <c r="H35" i="18"/>
  <c r="H22" i="21"/>
  <c r="I22" i="21" s="1"/>
  <c r="H14" i="21"/>
  <c r="I14" i="21" s="1"/>
  <c r="H14" i="22"/>
  <c r="I14" i="22" s="1"/>
  <c r="F39" i="21"/>
  <c r="I39" i="21" s="1"/>
  <c r="F34" i="21"/>
  <c r="I34" i="21" s="1"/>
  <c r="F40" i="22"/>
  <c r="I40" i="22" s="1"/>
  <c r="H23" i="22"/>
  <c r="I23" i="22" s="1"/>
  <c r="F31" i="21"/>
  <c r="I31" i="21" s="1"/>
  <c r="F33" i="21"/>
  <c r="I33" i="21" s="1"/>
  <c r="F35" i="21"/>
  <c r="I35" i="21" s="1"/>
  <c r="H17" i="21"/>
  <c r="I17" i="21" s="1"/>
  <c r="F38" i="21"/>
  <c r="H19" i="21"/>
  <c r="I19" i="21" s="1"/>
  <c r="F40" i="21"/>
  <c r="I40" i="21" s="1"/>
  <c r="H21" i="21"/>
  <c r="I21" i="21" s="1"/>
  <c r="F32" i="20"/>
  <c r="H32" i="20" s="1"/>
  <c r="F34" i="20"/>
  <c r="H34" i="20" s="1"/>
  <c r="F36" i="20"/>
  <c r="I36" i="20" s="1"/>
  <c r="F38" i="20"/>
  <c r="H38" i="20" s="1"/>
  <c r="F40" i="20"/>
  <c r="H40" i="20" s="1"/>
  <c r="H21" i="20"/>
  <c r="I21" i="20" s="1"/>
  <c r="F42" i="20"/>
  <c r="H42" i="20" s="1"/>
  <c r="N33" i="17"/>
  <c r="P33" i="17" s="1"/>
  <c r="N33" i="16"/>
  <c r="T33" i="16" s="1"/>
  <c r="N41" i="16"/>
  <c r="T41" i="16" s="1"/>
  <c r="N35" i="15"/>
  <c r="P35" i="15" s="1"/>
  <c r="H41" i="27"/>
  <c r="I41" i="27" s="1"/>
  <c r="H38" i="27"/>
  <c r="I38" i="27" s="1"/>
  <c r="H36" i="27"/>
  <c r="I36" i="27" s="1"/>
  <c r="F44" i="27"/>
  <c r="F23" i="27"/>
  <c r="P19" i="28"/>
  <c r="Q19" i="28" s="1"/>
  <c r="P15" i="28"/>
  <c r="Q15" i="28" s="1"/>
  <c r="P11" i="28"/>
  <c r="Q11" i="28" s="1"/>
  <c r="O24" i="28"/>
  <c r="H38" i="28"/>
  <c r="I38" i="28" s="1"/>
  <c r="H36" i="28"/>
  <c r="I36" i="28" s="1"/>
  <c r="H34" i="28"/>
  <c r="I34" i="28" s="1"/>
  <c r="N24" i="28"/>
  <c r="N31" i="28"/>
  <c r="T31" i="28" s="1"/>
  <c r="N33" i="28"/>
  <c r="P33" i="28" s="1"/>
  <c r="Q33" i="28" s="1"/>
  <c r="N35" i="28"/>
  <c r="P35" i="28" s="1"/>
  <c r="Q35" i="28" s="1"/>
  <c r="N37" i="28"/>
  <c r="T37" i="28" s="1"/>
  <c r="N39" i="28"/>
  <c r="P39" i="28" s="1"/>
  <c r="Q39" i="28" s="1"/>
  <c r="P21" i="28"/>
  <c r="Q21" i="28" s="1"/>
  <c r="H33" i="25"/>
  <c r="I33" i="25" s="1"/>
  <c r="H31" i="25"/>
  <c r="I31" i="25" s="1"/>
  <c r="F23" i="26"/>
  <c r="N36" i="26"/>
  <c r="T36" i="26" s="1"/>
  <c r="U33" i="18"/>
  <c r="U39" i="18"/>
  <c r="U35" i="16"/>
  <c r="U35" i="17"/>
  <c r="U37" i="17"/>
  <c r="U33" i="16"/>
  <c r="U31" i="15"/>
  <c r="U38" i="27"/>
  <c r="C44" i="17"/>
  <c r="C44" i="18"/>
  <c r="E41" i="18"/>
  <c r="E39" i="18"/>
  <c r="E37" i="18"/>
  <c r="E35" i="18"/>
  <c r="E33" i="18"/>
  <c r="E31" i="18"/>
  <c r="B24" i="17"/>
  <c r="B23" i="17" s="1"/>
  <c r="B24" i="18"/>
  <c r="D41" i="16"/>
  <c r="N34" i="18"/>
  <c r="Q34" i="18" s="1"/>
  <c r="N35" i="18"/>
  <c r="P35" i="18" s="1"/>
  <c r="N41" i="18"/>
  <c r="T41" i="18" s="1"/>
  <c r="N42" i="18"/>
  <c r="T42" i="18" s="1"/>
  <c r="N35" i="17"/>
  <c r="Q35" i="17" s="1"/>
  <c r="N36" i="17"/>
  <c r="T36" i="17" s="1"/>
  <c r="N37" i="17"/>
  <c r="Q37" i="17" s="1"/>
  <c r="N40" i="17"/>
  <c r="T40" i="17" s="1"/>
  <c r="N41" i="17"/>
  <c r="T41" i="17" s="1"/>
  <c r="N37" i="16"/>
  <c r="T37" i="16" s="1"/>
  <c r="N31" i="15"/>
  <c r="T31" i="15" s="1"/>
  <c r="N36" i="15"/>
  <c r="T36" i="15" s="1"/>
  <c r="N37" i="15"/>
  <c r="T37" i="15" s="1"/>
  <c r="N38" i="15"/>
  <c r="T38" i="15" s="1"/>
  <c r="N39" i="15"/>
  <c r="T39" i="15" s="1"/>
  <c r="N42" i="15"/>
  <c r="T42" i="15" s="1"/>
  <c r="P15" i="27"/>
  <c r="Q15" i="27" s="1"/>
  <c r="D37" i="27"/>
  <c r="E37" i="27" s="1"/>
  <c r="B44" i="27"/>
  <c r="D32" i="27"/>
  <c r="E32" i="27" s="1"/>
  <c r="D31" i="27"/>
  <c r="E31" i="27" s="1"/>
  <c r="P39" i="27"/>
  <c r="Q39" i="27" s="1"/>
  <c r="P22" i="28"/>
  <c r="Q22" i="28" s="1"/>
  <c r="B23" i="28"/>
  <c r="N40" i="28"/>
  <c r="T40" i="28" s="1"/>
  <c r="D37" i="25"/>
  <c r="E37" i="25" s="1"/>
  <c r="D33" i="25"/>
  <c r="E33" i="25" s="1"/>
  <c r="D31" i="25"/>
  <c r="E31" i="25" s="1"/>
  <c r="N24" i="25"/>
  <c r="N31" i="25"/>
  <c r="P31" i="25" s="1"/>
  <c r="Q31" i="25" s="1"/>
  <c r="N33" i="25"/>
  <c r="T33" i="25" s="1"/>
  <c r="N35" i="25"/>
  <c r="T35" i="25" s="1"/>
  <c r="B23" i="26"/>
  <c r="Q39" i="18"/>
  <c r="P40" i="25"/>
  <c r="Q40" i="25" s="1"/>
  <c r="T31" i="26"/>
  <c r="P31" i="26"/>
  <c r="Q31" i="26" s="1"/>
  <c r="T34" i="26"/>
  <c r="P34" i="26"/>
  <c r="Q34" i="26" s="1"/>
  <c r="M40" i="15"/>
  <c r="M36" i="15"/>
  <c r="M32" i="15"/>
  <c r="M11" i="17"/>
  <c r="M38" i="16"/>
  <c r="M34" i="16"/>
  <c r="J43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J37" i="21"/>
  <c r="M37" i="21" s="1"/>
  <c r="N25" i="26"/>
  <c r="J43" i="17"/>
  <c r="T42" i="26"/>
  <c r="P42" i="26"/>
  <c r="Q42" i="26" s="1"/>
  <c r="I11" i="17"/>
  <c r="I40" i="17"/>
  <c r="I40" i="18"/>
  <c r="I38" i="18"/>
  <c r="I36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F39" i="22"/>
  <c r="H39" i="22" s="1"/>
  <c r="F41" i="21"/>
  <c r="H19" i="20"/>
  <c r="I19" i="20" s="1"/>
  <c r="P22" i="27"/>
  <c r="Q22" i="27" s="1"/>
  <c r="P20" i="28"/>
  <c r="Q20" i="28" s="1"/>
  <c r="P18" i="28"/>
  <c r="Q18" i="28" s="1"/>
  <c r="P16" i="28"/>
  <c r="Q16" i="28" s="1"/>
  <c r="P14" i="28"/>
  <c r="Q14" i="28" s="1"/>
  <c r="P12" i="28"/>
  <c r="Q12" i="28" s="1"/>
  <c r="F44" i="28"/>
  <c r="P16" i="25"/>
  <c r="Q16" i="25" s="1"/>
  <c r="P14" i="25"/>
  <c r="Q14" i="25" s="1"/>
  <c r="P12" i="25"/>
  <c r="Q12" i="25" s="1"/>
  <c r="N25" i="25"/>
  <c r="P35" i="26"/>
  <c r="Q35" i="26" s="1"/>
  <c r="P32" i="26"/>
  <c r="Q32" i="26" s="1"/>
  <c r="P33" i="26"/>
  <c r="Q33" i="26" s="1"/>
  <c r="B36" i="22"/>
  <c r="D36" i="22" s="1"/>
  <c r="B31" i="21"/>
  <c r="E31" i="21" s="1"/>
  <c r="D11" i="21"/>
  <c r="E11" i="21" s="1"/>
  <c r="B33" i="21"/>
  <c r="E33" i="21" s="1"/>
  <c r="D13" i="21"/>
  <c r="E13" i="21" s="1"/>
  <c r="B35" i="21"/>
  <c r="E35" i="21" s="1"/>
  <c r="D15" i="21"/>
  <c r="E15" i="21" s="1"/>
  <c r="B37" i="21"/>
  <c r="D37" i="21" s="1"/>
  <c r="D17" i="21"/>
  <c r="E17" i="21" s="1"/>
  <c r="B39" i="21"/>
  <c r="D39" i="21" s="1"/>
  <c r="D19" i="21"/>
  <c r="E19" i="21" s="1"/>
  <c r="B31" i="20"/>
  <c r="D11" i="20"/>
  <c r="E11" i="20" s="1"/>
  <c r="B34" i="20"/>
  <c r="D34" i="20" s="1"/>
  <c r="D14" i="20"/>
  <c r="E14" i="20" s="1"/>
  <c r="B36" i="20"/>
  <c r="D16" i="20"/>
  <c r="E16" i="20" s="1"/>
  <c r="B42" i="20"/>
  <c r="D42" i="20" s="1"/>
  <c r="D22" i="20"/>
  <c r="E22" i="20" s="1"/>
  <c r="N32" i="18"/>
  <c r="P12" i="18"/>
  <c r="Q12" i="18" s="1"/>
  <c r="N36" i="18"/>
  <c r="T36" i="18" s="1"/>
  <c r="P16" i="18"/>
  <c r="Q16" i="18" s="1"/>
  <c r="Q31" i="17"/>
  <c r="T31" i="16"/>
  <c r="N34" i="16"/>
  <c r="P14" i="16"/>
  <c r="Q14" i="16" s="1"/>
  <c r="N36" i="16"/>
  <c r="T36" i="16" s="1"/>
  <c r="P16" i="16"/>
  <c r="Q16" i="16" s="1"/>
  <c r="N40" i="16"/>
  <c r="T40" i="16" s="1"/>
  <c r="P20" i="16"/>
  <c r="Q20" i="16" s="1"/>
  <c r="N42" i="16"/>
  <c r="T42" i="16" s="1"/>
  <c r="P22" i="16"/>
  <c r="Q22" i="16" s="1"/>
  <c r="N32" i="15"/>
  <c r="P12" i="15"/>
  <c r="Q12" i="15" s="1"/>
  <c r="N41" i="15"/>
  <c r="P21" i="15"/>
  <c r="Q21" i="15" s="1"/>
  <c r="B44" i="28"/>
  <c r="D31" i="28"/>
  <c r="E31" i="28" s="1"/>
  <c r="T32" i="28"/>
  <c r="P32" i="28"/>
  <c r="Q32" i="28" s="1"/>
  <c r="T34" i="28"/>
  <c r="P34" i="28"/>
  <c r="Q34" i="28" s="1"/>
  <c r="T36" i="28"/>
  <c r="P36" i="28"/>
  <c r="Q36" i="28" s="1"/>
  <c r="T38" i="28"/>
  <c r="P38" i="28"/>
  <c r="Q38" i="28" s="1"/>
  <c r="T40" i="26"/>
  <c r="P40" i="26"/>
  <c r="Q40" i="26" s="1"/>
  <c r="D23" i="17"/>
  <c r="D41" i="15"/>
  <c r="E41" i="15"/>
  <c r="B43" i="18"/>
  <c r="D31" i="18"/>
  <c r="N38" i="18"/>
  <c r="T38" i="18" s="1"/>
  <c r="P18" i="18"/>
  <c r="Q18" i="18" s="1"/>
  <c r="P32" i="17"/>
  <c r="N34" i="17"/>
  <c r="P14" i="17"/>
  <c r="Q14" i="17" s="1"/>
  <c r="N38" i="16"/>
  <c r="T38" i="16" s="1"/>
  <c r="P18" i="16"/>
  <c r="Q18" i="16" s="1"/>
  <c r="N34" i="27"/>
  <c r="T34" i="27" s="1"/>
  <c r="P14" i="27"/>
  <c r="Q14" i="27" s="1"/>
  <c r="N32" i="27"/>
  <c r="P12" i="27"/>
  <c r="Q12" i="27" s="1"/>
  <c r="N24" i="27"/>
  <c r="N31" i="27"/>
  <c r="D23" i="28"/>
  <c r="E12" i="28"/>
  <c r="P34" i="27"/>
  <c r="Q34" i="27" s="1"/>
  <c r="D23" i="18"/>
  <c r="D34" i="27"/>
  <c r="E34" i="27" s="1"/>
  <c r="P22" i="25"/>
  <c r="Q22" i="25" s="1"/>
  <c r="P20" i="25"/>
  <c r="Q20" i="25" s="1"/>
  <c r="P32" i="25"/>
  <c r="Q32" i="25" s="1"/>
  <c r="B44" i="26"/>
  <c r="D42" i="27"/>
  <c r="E42" i="27" s="1"/>
  <c r="G44" i="27"/>
  <c r="G43" i="27" s="1"/>
  <c r="H42" i="27"/>
  <c r="I42" i="27" s="1"/>
  <c r="K44" i="27"/>
  <c r="K43" i="27" s="1"/>
  <c r="L42" i="27"/>
  <c r="M42" i="27" s="1"/>
  <c r="D42" i="28"/>
  <c r="E42" i="28" s="1"/>
  <c r="L42" i="25"/>
  <c r="M42" i="25" s="1"/>
  <c r="L41" i="15"/>
  <c r="D41" i="25"/>
  <c r="E41" i="25" s="1"/>
  <c r="D41" i="26"/>
  <c r="E41" i="26" s="1"/>
  <c r="H41" i="26"/>
  <c r="I41" i="26" s="1"/>
  <c r="L41" i="16"/>
  <c r="L39" i="15"/>
  <c r="D39" i="17"/>
  <c r="C43" i="17"/>
  <c r="G43" i="17"/>
  <c r="D39" i="27"/>
  <c r="E39" i="27" s="1"/>
  <c r="H39" i="27"/>
  <c r="I39" i="27" s="1"/>
  <c r="H39" i="25"/>
  <c r="I39" i="25" s="1"/>
  <c r="D39" i="26"/>
  <c r="E39" i="26" s="1"/>
  <c r="L35" i="17"/>
  <c r="G43" i="18"/>
  <c r="L35" i="18"/>
  <c r="K43" i="18"/>
  <c r="D35" i="27"/>
  <c r="E35" i="27" s="1"/>
  <c r="L35" i="28"/>
  <c r="M35" i="28" s="1"/>
  <c r="K44" i="28"/>
  <c r="K43" i="28" s="1"/>
  <c r="D35" i="25"/>
  <c r="E35" i="25" s="1"/>
  <c r="H35" i="25"/>
  <c r="I35" i="25" s="1"/>
  <c r="D35" i="26"/>
  <c r="E35" i="26" s="1"/>
  <c r="H35" i="26"/>
  <c r="I35" i="26" s="1"/>
  <c r="H35" i="15"/>
  <c r="L35" i="15"/>
  <c r="H34" i="18"/>
  <c r="H34" i="27"/>
  <c r="I34" i="27" s="1"/>
  <c r="P34" i="25"/>
  <c r="Q34" i="25" s="1"/>
  <c r="C44" i="27"/>
  <c r="C43" i="27" s="1"/>
  <c r="L34" i="27"/>
  <c r="M34" i="27" s="1"/>
  <c r="D33" i="18"/>
  <c r="H33" i="28"/>
  <c r="I33" i="28" s="1"/>
  <c r="D33" i="26"/>
  <c r="E33" i="26" s="1"/>
  <c r="H33" i="26"/>
  <c r="I33" i="26" s="1"/>
  <c r="H33" i="15"/>
  <c r="L33" i="15"/>
  <c r="K43" i="16"/>
  <c r="H33" i="27"/>
  <c r="I33" i="27" s="1"/>
  <c r="G44" i="26"/>
  <c r="G43" i="26" s="1"/>
  <c r="J44" i="28"/>
  <c r="J44" i="25"/>
  <c r="I37" i="15"/>
  <c r="I35" i="15"/>
  <c r="I33" i="15"/>
  <c r="I31" i="15"/>
  <c r="M41" i="15"/>
  <c r="M39" i="15"/>
  <c r="M37" i="15"/>
  <c r="M35" i="15"/>
  <c r="M33" i="15"/>
  <c r="M31" i="15"/>
  <c r="M35" i="16"/>
  <c r="M33" i="16"/>
  <c r="M31" i="16"/>
  <c r="E39" i="17"/>
  <c r="I39" i="15"/>
  <c r="F43" i="18"/>
  <c r="I38" i="20"/>
  <c r="M32" i="20"/>
  <c r="F44" i="26"/>
  <c r="F43" i="22"/>
  <c r="N29" i="26"/>
  <c r="F29" i="26"/>
  <c r="N9" i="26"/>
  <c r="O29" i="28"/>
  <c r="G29" i="28"/>
  <c r="O9" i="28"/>
  <c r="H41" i="20"/>
  <c r="L32" i="20"/>
  <c r="L31" i="20"/>
  <c r="H40" i="21"/>
  <c r="J43" i="22"/>
  <c r="K24" i="21"/>
  <c r="J25" i="21" s="1"/>
  <c r="J40" i="21"/>
  <c r="M40" i="21" s="1"/>
  <c r="D22" i="21"/>
  <c r="E22" i="21" s="1"/>
  <c r="E42" i="18"/>
  <c r="D23" i="22"/>
  <c r="E23" i="22" s="1"/>
  <c r="B43" i="22"/>
  <c r="D43" i="22" s="1"/>
  <c r="L42" i="17"/>
  <c r="L23" i="18"/>
  <c r="L42" i="18"/>
  <c r="J42" i="21"/>
  <c r="M42" i="21" s="1"/>
  <c r="K43" i="22"/>
  <c r="L23" i="28"/>
  <c r="H42" i="28"/>
  <c r="I42" i="28" s="1"/>
  <c r="N25" i="28"/>
  <c r="O22" i="21"/>
  <c r="O42" i="21" s="1"/>
  <c r="U42" i="28"/>
  <c r="N42" i="28"/>
  <c r="T42" i="28" s="1"/>
  <c r="P42" i="27"/>
  <c r="Q42" i="27" s="1"/>
  <c r="U42" i="27"/>
  <c r="O23" i="22"/>
  <c r="O43" i="22" s="1"/>
  <c r="O22" i="20"/>
  <c r="O42" i="20" s="1"/>
  <c r="H23" i="27"/>
  <c r="H23" i="18"/>
  <c r="U42" i="18"/>
  <c r="Q42" i="18"/>
  <c r="D42" i="18"/>
  <c r="L42" i="16"/>
  <c r="U42" i="16"/>
  <c r="U42" i="15"/>
  <c r="F43" i="17"/>
  <c r="G43" i="22"/>
  <c r="U42" i="17"/>
  <c r="B43" i="17"/>
  <c r="G41" i="21"/>
  <c r="N41" i="28"/>
  <c r="T41" i="28" s="1"/>
  <c r="L41" i="21"/>
  <c r="O21" i="21"/>
  <c r="H23" i="28"/>
  <c r="G44" i="28"/>
  <c r="G43" i="28" s="1"/>
  <c r="U41" i="28"/>
  <c r="C23" i="21"/>
  <c r="D21" i="21"/>
  <c r="E21" i="21" s="1"/>
  <c r="B41" i="21"/>
  <c r="D41" i="21" s="1"/>
  <c r="C44" i="28"/>
  <c r="C43" i="28" s="1"/>
  <c r="O22" i="22"/>
  <c r="O42" i="22" s="1"/>
  <c r="O21" i="20"/>
  <c r="J44" i="27"/>
  <c r="P41" i="27"/>
  <c r="Q41" i="27" s="1"/>
  <c r="U41" i="27"/>
  <c r="D41" i="27"/>
  <c r="E41" i="27" s="1"/>
  <c r="N25" i="27"/>
  <c r="U41" i="26"/>
  <c r="N41" i="26"/>
  <c r="T41" i="26" s="1"/>
  <c r="U41" i="25"/>
  <c r="P41" i="25"/>
  <c r="Q41" i="25" s="1"/>
  <c r="B41" i="20"/>
  <c r="C41" i="20"/>
  <c r="C42" i="22"/>
  <c r="D23" i="15"/>
  <c r="J24" i="18"/>
  <c r="J23" i="18" s="1"/>
  <c r="I21" i="18"/>
  <c r="I41" i="18"/>
  <c r="F24" i="18"/>
  <c r="F23" i="18" s="1"/>
  <c r="H22" i="22"/>
  <c r="I22" i="22" s="1"/>
  <c r="U41" i="18"/>
  <c r="B23" i="18"/>
  <c r="C43" i="18"/>
  <c r="K43" i="17"/>
  <c r="J42" i="22"/>
  <c r="L42" i="22" s="1"/>
  <c r="J24" i="17"/>
  <c r="J23" i="17" s="1"/>
  <c r="H41" i="17"/>
  <c r="F24" i="17"/>
  <c r="F23" i="17" s="1"/>
  <c r="U41" i="17"/>
  <c r="D41" i="17"/>
  <c r="B42" i="22"/>
  <c r="M20" i="28"/>
  <c r="O20" i="21"/>
  <c r="O40" i="21" s="1"/>
  <c r="O44" i="28"/>
  <c r="U40" i="28"/>
  <c r="D20" i="21"/>
  <c r="E20" i="21" s="1"/>
  <c r="B40" i="21"/>
  <c r="C40" i="21"/>
  <c r="C43" i="21" s="1"/>
  <c r="O23" i="27"/>
  <c r="O20" i="20"/>
  <c r="O40" i="20" s="1"/>
  <c r="D40" i="27"/>
  <c r="D21" i="22"/>
  <c r="E21" i="22" s="1"/>
  <c r="O40" i="27"/>
  <c r="U40" i="18"/>
  <c r="L20" i="21"/>
  <c r="M20" i="21" s="1"/>
  <c r="N40" i="18"/>
  <c r="H23" i="16"/>
  <c r="H40" i="16"/>
  <c r="L40" i="18"/>
  <c r="U40" i="17"/>
  <c r="Q40" i="17"/>
  <c r="K44" i="20"/>
  <c r="J40" i="20"/>
  <c r="M40" i="20" s="1"/>
  <c r="J41" i="22"/>
  <c r="L41" i="22" s="1"/>
  <c r="L40" i="16"/>
  <c r="L21" i="22"/>
  <c r="M21" i="22" s="1"/>
  <c r="U40" i="16"/>
  <c r="D40" i="16"/>
  <c r="C43" i="16"/>
  <c r="F43" i="15"/>
  <c r="U40" i="15"/>
  <c r="Q40" i="15"/>
  <c r="E20" i="15"/>
  <c r="O19" i="21"/>
  <c r="O39" i="21" s="1"/>
  <c r="O19" i="20"/>
  <c r="O39" i="20" s="1"/>
  <c r="F24" i="16"/>
  <c r="F23" i="16" s="1"/>
  <c r="H39" i="16"/>
  <c r="G43" i="16"/>
  <c r="K44" i="21"/>
  <c r="M39" i="16"/>
  <c r="L20" i="22"/>
  <c r="M20" i="22" s="1"/>
  <c r="P39" i="16"/>
  <c r="U39" i="16"/>
  <c r="L23" i="15"/>
  <c r="O23" i="15"/>
  <c r="G44" i="15"/>
  <c r="O24" i="15"/>
  <c r="N25" i="15" s="1"/>
  <c r="P19" i="15"/>
  <c r="Q19" i="15" s="1"/>
  <c r="G23" i="20"/>
  <c r="H20" i="22"/>
  <c r="I20" i="22" s="1"/>
  <c r="I39" i="20"/>
  <c r="U39" i="15"/>
  <c r="E39" i="15"/>
  <c r="B24" i="15"/>
  <c r="B23" i="15" s="1"/>
  <c r="J40" i="22"/>
  <c r="L40" i="22" s="1"/>
  <c r="H23" i="26"/>
  <c r="N39" i="26"/>
  <c r="T39" i="26" s="1"/>
  <c r="U39" i="26"/>
  <c r="L23" i="25"/>
  <c r="H23" i="25"/>
  <c r="N39" i="25"/>
  <c r="T39" i="25" s="1"/>
  <c r="U39" i="25"/>
  <c r="K43" i="21"/>
  <c r="O18" i="21"/>
  <c r="O38" i="21" s="1"/>
  <c r="O18" i="20"/>
  <c r="O38" i="20" s="1"/>
  <c r="F43" i="16"/>
  <c r="B43" i="16"/>
  <c r="L23" i="26"/>
  <c r="J44" i="26"/>
  <c r="U38" i="26"/>
  <c r="N38" i="26"/>
  <c r="T38" i="26" s="1"/>
  <c r="U38" i="25"/>
  <c r="O23" i="25"/>
  <c r="N38" i="25"/>
  <c r="T38" i="25" s="1"/>
  <c r="C38" i="20"/>
  <c r="B43" i="15"/>
  <c r="U38" i="18"/>
  <c r="P38" i="18"/>
  <c r="H38" i="17"/>
  <c r="U38" i="17"/>
  <c r="P38" i="17"/>
  <c r="B38" i="20"/>
  <c r="D38" i="17"/>
  <c r="J24" i="16"/>
  <c r="J23" i="16" s="1"/>
  <c r="J43" i="16"/>
  <c r="U38" i="16"/>
  <c r="D38" i="16"/>
  <c r="D23" i="16"/>
  <c r="J24" i="15"/>
  <c r="J23" i="15" s="1"/>
  <c r="J43" i="15"/>
  <c r="U38" i="15"/>
  <c r="H38" i="15"/>
  <c r="F24" i="15"/>
  <c r="F23" i="15" s="1"/>
  <c r="H23" i="15"/>
  <c r="O17" i="21"/>
  <c r="O37" i="21" s="1"/>
  <c r="O17" i="20"/>
  <c r="O37" i="20" s="1"/>
  <c r="L37" i="16"/>
  <c r="U37" i="16"/>
  <c r="B24" i="16"/>
  <c r="B23" i="16" s="1"/>
  <c r="K43" i="15"/>
  <c r="U37" i="15"/>
  <c r="I17" i="26"/>
  <c r="N37" i="26"/>
  <c r="T37" i="26" s="1"/>
  <c r="G44" i="25"/>
  <c r="G43" i="25" s="1"/>
  <c r="N37" i="25"/>
  <c r="T37" i="25" s="1"/>
  <c r="U37" i="25"/>
  <c r="D23" i="25"/>
  <c r="C44" i="25"/>
  <c r="C43" i="25" s="1"/>
  <c r="U37" i="26"/>
  <c r="D23" i="26"/>
  <c r="C44" i="26"/>
  <c r="C43" i="26" s="1"/>
  <c r="O16" i="21"/>
  <c r="O36" i="21" s="1"/>
  <c r="D36" i="21"/>
  <c r="O16" i="20"/>
  <c r="O36" i="20" s="1"/>
  <c r="F36" i="21"/>
  <c r="H36" i="21" s="1"/>
  <c r="O44" i="26"/>
  <c r="U36" i="26"/>
  <c r="E16" i="26"/>
  <c r="O44" i="25"/>
  <c r="P36" i="25"/>
  <c r="U36" i="25"/>
  <c r="J10" i="22"/>
  <c r="N10" i="22"/>
  <c r="B30" i="22"/>
  <c r="F30" i="22"/>
  <c r="J30" i="22"/>
  <c r="J9" i="20"/>
  <c r="N9" i="20"/>
  <c r="B29" i="20"/>
  <c r="F29" i="20"/>
  <c r="J29" i="20"/>
  <c r="J9" i="17"/>
  <c r="N9" i="17"/>
  <c r="B29" i="17"/>
  <c r="F29" i="17"/>
  <c r="J29" i="17"/>
  <c r="N29" i="17"/>
  <c r="R29" i="25"/>
  <c r="N29" i="25"/>
  <c r="J29" i="25"/>
  <c r="F29" i="25"/>
  <c r="B29" i="25"/>
  <c r="N9" i="25"/>
  <c r="J9" i="25"/>
  <c r="M31" i="20"/>
  <c r="H35" i="21"/>
  <c r="F32" i="22"/>
  <c r="I32" i="22" s="1"/>
  <c r="O11" i="21"/>
  <c r="O31" i="21" s="1"/>
  <c r="O12" i="21"/>
  <c r="O32" i="21" s="1"/>
  <c r="O13" i="21"/>
  <c r="O33" i="21" s="1"/>
  <c r="O14" i="21"/>
  <c r="O34" i="21" s="1"/>
  <c r="O15" i="21"/>
  <c r="O35" i="21" s="1"/>
  <c r="O11" i="20"/>
  <c r="O31" i="20" s="1"/>
  <c r="O12" i="20"/>
  <c r="O32" i="20" s="1"/>
  <c r="O13" i="20"/>
  <c r="O33" i="20" s="1"/>
  <c r="O14" i="20"/>
  <c r="O34" i="20" s="1"/>
  <c r="O15" i="20"/>
  <c r="N12" i="22"/>
  <c r="N16" i="22"/>
  <c r="N20" i="22"/>
  <c r="N23" i="22"/>
  <c r="N11" i="21"/>
  <c r="N12" i="21"/>
  <c r="N13" i="21"/>
  <c r="N14" i="21"/>
  <c r="N15" i="21"/>
  <c r="N16" i="21"/>
  <c r="N17" i="21"/>
  <c r="N18" i="21"/>
  <c r="N19" i="21"/>
  <c r="N20" i="21"/>
  <c r="N21" i="21"/>
  <c r="N22" i="21"/>
  <c r="N11" i="20"/>
  <c r="N12" i="20"/>
  <c r="N13" i="20"/>
  <c r="N14" i="20"/>
  <c r="N15" i="20"/>
  <c r="N16" i="20"/>
  <c r="N17" i="20"/>
  <c r="N18" i="20"/>
  <c r="N19" i="20"/>
  <c r="N20" i="20"/>
  <c r="N21" i="20"/>
  <c r="N22" i="20"/>
  <c r="O43" i="18"/>
  <c r="U36" i="18"/>
  <c r="O44" i="18"/>
  <c r="E36" i="21"/>
  <c r="L36" i="17"/>
  <c r="O43" i="17"/>
  <c r="O44" i="17"/>
  <c r="U36" i="17"/>
  <c r="U36" i="16"/>
  <c r="O43" i="16"/>
  <c r="O44" i="16"/>
  <c r="G43" i="20"/>
  <c r="I16" i="15"/>
  <c r="G43" i="15"/>
  <c r="U36" i="15"/>
  <c r="O44" i="15"/>
  <c r="O43" i="15"/>
  <c r="E41" i="21"/>
  <c r="D35" i="21"/>
  <c r="S29" i="26"/>
  <c r="O29" i="26"/>
  <c r="K29" i="26"/>
  <c r="G29" i="26"/>
  <c r="C29" i="26"/>
  <c r="O9" i="26"/>
  <c r="K9" i="26"/>
  <c r="R29" i="28"/>
  <c r="N29" i="28"/>
  <c r="J29" i="28"/>
  <c r="F29" i="28"/>
  <c r="B29" i="28"/>
  <c r="N9" i="28"/>
  <c r="J9" i="28"/>
  <c r="M41" i="21"/>
  <c r="N18" i="22" l="1"/>
  <c r="F34" i="22"/>
  <c r="H34" i="22" s="1"/>
  <c r="C41" i="22"/>
  <c r="E41" i="22" s="1"/>
  <c r="F42" i="22"/>
  <c r="I42" i="22" s="1"/>
  <c r="F41" i="22"/>
  <c r="I41" i="22" s="1"/>
  <c r="D14" i="22"/>
  <c r="E14" i="22" s="1"/>
  <c r="B34" i="22"/>
  <c r="E34" i="22" s="1"/>
  <c r="N21" i="22"/>
  <c r="N19" i="22"/>
  <c r="N17" i="22"/>
  <c r="L19" i="22"/>
  <c r="M19" i="22" s="1"/>
  <c r="F38" i="22"/>
  <c r="I38" i="22" s="1"/>
  <c r="N15" i="22"/>
  <c r="J38" i="22"/>
  <c r="O14" i="22"/>
  <c r="P14" i="22" s="1"/>
  <c r="Q14" i="22" s="1"/>
  <c r="F36" i="22"/>
  <c r="H36" i="22" s="1"/>
  <c r="J37" i="22"/>
  <c r="M37" i="22" s="1"/>
  <c r="K38" i="22"/>
  <c r="L31" i="21"/>
  <c r="I37" i="21"/>
  <c r="D16" i="22"/>
  <c r="E16" i="22" s="1"/>
  <c r="H18" i="22"/>
  <c r="I18" i="22" s="1"/>
  <c r="J39" i="22"/>
  <c r="M39" i="22" s="1"/>
  <c r="L17" i="22"/>
  <c r="M17" i="22" s="1"/>
  <c r="B35" i="22"/>
  <c r="B33" i="22"/>
  <c r="L35" i="20"/>
  <c r="H21" i="22"/>
  <c r="I21" i="22" s="1"/>
  <c r="O20" i="22"/>
  <c r="O40" i="22" s="1"/>
  <c r="U40" i="22" s="1"/>
  <c r="P33" i="15"/>
  <c r="I33" i="20"/>
  <c r="M34" i="20"/>
  <c r="I43" i="18"/>
  <c r="D17" i="22"/>
  <c r="E17" i="22" s="1"/>
  <c r="D18" i="22"/>
  <c r="E18" i="22" s="1"/>
  <c r="E39" i="21"/>
  <c r="Q39" i="16"/>
  <c r="D39" i="20"/>
  <c r="B40" i="22"/>
  <c r="H40" i="22"/>
  <c r="C40" i="22"/>
  <c r="D40" i="22" s="1"/>
  <c r="O19" i="22"/>
  <c r="O39" i="22" s="1"/>
  <c r="L39" i="22"/>
  <c r="H37" i="20"/>
  <c r="H43" i="18"/>
  <c r="C38" i="22"/>
  <c r="O18" i="22"/>
  <c r="O38" i="22" s="1"/>
  <c r="U38" i="22" s="1"/>
  <c r="U43" i="15"/>
  <c r="C30" i="15" s="1"/>
  <c r="O17" i="22"/>
  <c r="O37" i="22" s="1"/>
  <c r="U37" i="22" s="1"/>
  <c r="F37" i="22"/>
  <c r="H37" i="22" s="1"/>
  <c r="H17" i="22"/>
  <c r="I17" i="22" s="1"/>
  <c r="B37" i="22"/>
  <c r="D37" i="22" s="1"/>
  <c r="O16" i="22"/>
  <c r="O36" i="22" s="1"/>
  <c r="U36" i="22" s="1"/>
  <c r="H16" i="22"/>
  <c r="I16" i="22" s="1"/>
  <c r="J36" i="22"/>
  <c r="M36" i="22" s="1"/>
  <c r="L16" i="22"/>
  <c r="M16" i="22" s="1"/>
  <c r="P34" i="15"/>
  <c r="H15" i="22"/>
  <c r="I15" i="22" s="1"/>
  <c r="Q33" i="17"/>
  <c r="I32" i="20"/>
  <c r="J33" i="22"/>
  <c r="M33" i="22" s="1"/>
  <c r="H13" i="22"/>
  <c r="I13" i="22" s="1"/>
  <c r="G33" i="22"/>
  <c r="H33" i="22" s="1"/>
  <c r="L13" i="22"/>
  <c r="M13" i="22" s="1"/>
  <c r="J32" i="22"/>
  <c r="L32" i="22" s="1"/>
  <c r="L12" i="22"/>
  <c r="M12" i="22" s="1"/>
  <c r="H12" i="22"/>
  <c r="I12" i="22" s="1"/>
  <c r="B39" i="22"/>
  <c r="T33" i="18"/>
  <c r="C39" i="22"/>
  <c r="E39" i="22" s="1"/>
  <c r="E40" i="20"/>
  <c r="P42" i="17"/>
  <c r="M39" i="21"/>
  <c r="H38" i="21"/>
  <c r="I23" i="18"/>
  <c r="Q37" i="16"/>
  <c r="Q37" i="15"/>
  <c r="Q36" i="18"/>
  <c r="G24" i="22"/>
  <c r="D15" i="22"/>
  <c r="E15" i="22" s="1"/>
  <c r="G25" i="22"/>
  <c r="F35" i="22"/>
  <c r="L32" i="21"/>
  <c r="D32" i="21"/>
  <c r="D13" i="22"/>
  <c r="E13" i="22" s="1"/>
  <c r="C33" i="22"/>
  <c r="D33" i="22" s="1"/>
  <c r="O13" i="22"/>
  <c r="O33" i="22" s="1"/>
  <c r="U33" i="22" s="1"/>
  <c r="O12" i="22"/>
  <c r="P12" i="22" s="1"/>
  <c r="B32" i="22"/>
  <c r="D32" i="22" s="1"/>
  <c r="D12" i="22"/>
  <c r="E12" i="22" s="1"/>
  <c r="T34" i="18"/>
  <c r="N36" i="20"/>
  <c r="T36" i="20" s="1"/>
  <c r="Q35" i="18"/>
  <c r="Q32" i="17"/>
  <c r="H43" i="16"/>
  <c r="H43" i="15"/>
  <c r="D31" i="21"/>
  <c r="E37" i="21"/>
  <c r="H31" i="21"/>
  <c r="D32" i="20"/>
  <c r="E37" i="20"/>
  <c r="M38" i="22"/>
  <c r="L38" i="21"/>
  <c r="Q39" i="15"/>
  <c r="H39" i="21"/>
  <c r="P40" i="16"/>
  <c r="D42" i="21"/>
  <c r="E42" i="20"/>
  <c r="D34" i="22"/>
  <c r="L35" i="21"/>
  <c r="M36" i="20"/>
  <c r="D38" i="21"/>
  <c r="P32" i="16"/>
  <c r="T37" i="18"/>
  <c r="P33" i="16"/>
  <c r="I43" i="22"/>
  <c r="H42" i="21"/>
  <c r="L42" i="20"/>
  <c r="I42" i="20"/>
  <c r="Q42" i="17"/>
  <c r="N24" i="16"/>
  <c r="N23" i="16" s="1"/>
  <c r="C43" i="20"/>
  <c r="P41" i="17"/>
  <c r="D43" i="15"/>
  <c r="I40" i="20"/>
  <c r="E23" i="25"/>
  <c r="E40" i="21"/>
  <c r="H41" i="22"/>
  <c r="E43" i="15"/>
  <c r="P40" i="15"/>
  <c r="L39" i="20"/>
  <c r="N24" i="18"/>
  <c r="N23" i="18" s="1"/>
  <c r="E23" i="18"/>
  <c r="N39" i="20"/>
  <c r="T39" i="20" s="1"/>
  <c r="P39" i="15"/>
  <c r="D43" i="16"/>
  <c r="I23" i="26"/>
  <c r="N38" i="21"/>
  <c r="T38" i="21" s="1"/>
  <c r="M38" i="20"/>
  <c r="B43" i="25"/>
  <c r="I38" i="21"/>
  <c r="G43" i="21"/>
  <c r="G44" i="21"/>
  <c r="D39" i="22"/>
  <c r="Q38" i="17"/>
  <c r="L37" i="20"/>
  <c r="H38" i="22"/>
  <c r="T37" i="17"/>
  <c r="P37" i="15"/>
  <c r="K44" i="22"/>
  <c r="L37" i="22"/>
  <c r="M36" i="21"/>
  <c r="P36" i="26"/>
  <c r="Q36" i="26" s="1"/>
  <c r="I37" i="22"/>
  <c r="N36" i="21"/>
  <c r="T36" i="21" s="1"/>
  <c r="H36" i="20"/>
  <c r="Q36" i="17"/>
  <c r="P36" i="16"/>
  <c r="P36" i="27"/>
  <c r="Q36" i="27" s="1"/>
  <c r="E23" i="26"/>
  <c r="E35" i="20"/>
  <c r="I23" i="28"/>
  <c r="F43" i="28"/>
  <c r="I23" i="27"/>
  <c r="H35" i="20"/>
  <c r="Q35" i="15"/>
  <c r="L15" i="22"/>
  <c r="M15" i="22" s="1"/>
  <c r="E34" i="21"/>
  <c r="K24" i="22"/>
  <c r="K25" i="22"/>
  <c r="J26" i="22" s="1"/>
  <c r="J35" i="22"/>
  <c r="M35" i="22" s="1"/>
  <c r="M23" i="27"/>
  <c r="C24" i="22"/>
  <c r="M43" i="15"/>
  <c r="C35" i="22"/>
  <c r="O15" i="22"/>
  <c r="O35" i="22" s="1"/>
  <c r="U35" i="22" s="1"/>
  <c r="C25" i="22"/>
  <c r="B26" i="22" s="1"/>
  <c r="D33" i="21"/>
  <c r="N23" i="26"/>
  <c r="I43" i="25"/>
  <c r="L34" i="22"/>
  <c r="I23" i="25"/>
  <c r="F43" i="25"/>
  <c r="O43" i="28"/>
  <c r="E23" i="28"/>
  <c r="E33" i="20"/>
  <c r="M23" i="28"/>
  <c r="I32" i="21"/>
  <c r="E23" i="27"/>
  <c r="M23" i="26"/>
  <c r="M23" i="25"/>
  <c r="I23" i="17"/>
  <c r="M43" i="16"/>
  <c r="I23" i="15"/>
  <c r="B25" i="21"/>
  <c r="B23" i="21" s="1"/>
  <c r="P31" i="28"/>
  <c r="Q31" i="28" s="1"/>
  <c r="H31" i="20"/>
  <c r="F25" i="21"/>
  <c r="F23" i="21" s="1"/>
  <c r="D23" i="20"/>
  <c r="T31" i="25"/>
  <c r="T43" i="25" s="1"/>
  <c r="B30" i="25" s="1"/>
  <c r="E23" i="15"/>
  <c r="Q31" i="15"/>
  <c r="F43" i="20"/>
  <c r="I43" i="20" s="1"/>
  <c r="J24" i="20"/>
  <c r="J23" i="20" s="1"/>
  <c r="I35" i="20"/>
  <c r="T39" i="28"/>
  <c r="J43" i="25"/>
  <c r="N39" i="21"/>
  <c r="T39" i="21" s="1"/>
  <c r="N40" i="20"/>
  <c r="T40" i="20" s="1"/>
  <c r="N38" i="20"/>
  <c r="T38" i="20" s="1"/>
  <c r="N40" i="21"/>
  <c r="T40" i="21" s="1"/>
  <c r="T39" i="17"/>
  <c r="P33" i="27"/>
  <c r="Q33" i="27" s="1"/>
  <c r="T35" i="28"/>
  <c r="P37" i="27"/>
  <c r="Q37" i="27" s="1"/>
  <c r="M43" i="26"/>
  <c r="M43" i="28"/>
  <c r="F43" i="27"/>
  <c r="N36" i="22"/>
  <c r="T36" i="22" s="1"/>
  <c r="N23" i="25"/>
  <c r="P38" i="27"/>
  <c r="Q38" i="27" s="1"/>
  <c r="P39" i="25"/>
  <c r="Q39" i="25" s="1"/>
  <c r="L43" i="15"/>
  <c r="M42" i="22"/>
  <c r="Q36" i="15"/>
  <c r="Q36" i="16"/>
  <c r="P36" i="17"/>
  <c r="L43" i="17"/>
  <c r="M33" i="20"/>
  <c r="P37" i="16"/>
  <c r="L43" i="16"/>
  <c r="Q38" i="15"/>
  <c r="L43" i="26"/>
  <c r="Q40" i="16"/>
  <c r="P40" i="17"/>
  <c r="J43" i="27"/>
  <c r="P42" i="15"/>
  <c r="Q42" i="15"/>
  <c r="P42" i="18"/>
  <c r="L33" i="21"/>
  <c r="M43" i="25"/>
  <c r="T35" i="15"/>
  <c r="T35" i="18"/>
  <c r="Q32" i="16"/>
  <c r="Q39" i="17"/>
  <c r="P42" i="25"/>
  <c r="Q42" i="25" s="1"/>
  <c r="P37" i="28"/>
  <c r="Q37" i="28" s="1"/>
  <c r="T33" i="28"/>
  <c r="Q33" i="18"/>
  <c r="Q33" i="16"/>
  <c r="P39" i="18"/>
  <c r="Q34" i="15"/>
  <c r="F43" i="21"/>
  <c r="H43" i="26"/>
  <c r="P36" i="15"/>
  <c r="P36" i="18"/>
  <c r="I39" i="22"/>
  <c r="H33" i="21"/>
  <c r="H23" i="20"/>
  <c r="P23" i="15"/>
  <c r="P38" i="15"/>
  <c r="P38" i="16"/>
  <c r="Q38" i="16"/>
  <c r="Q38" i="18"/>
  <c r="P40" i="28"/>
  <c r="Q40" i="28" s="1"/>
  <c r="N41" i="20"/>
  <c r="T41" i="20" s="1"/>
  <c r="N41" i="21"/>
  <c r="T41" i="21" s="1"/>
  <c r="H34" i="21"/>
  <c r="I34" i="20"/>
  <c r="P37" i="17"/>
  <c r="T33" i="15"/>
  <c r="T31" i="18"/>
  <c r="T33" i="17"/>
  <c r="P37" i="18"/>
  <c r="P34" i="18"/>
  <c r="T35" i="17"/>
  <c r="H43" i="25"/>
  <c r="D43" i="26"/>
  <c r="E43" i="28"/>
  <c r="B43" i="28"/>
  <c r="E43" i="26"/>
  <c r="P31" i="18"/>
  <c r="Q35" i="16"/>
  <c r="B43" i="27"/>
  <c r="F43" i="26"/>
  <c r="N43" i="22"/>
  <c r="T43" i="22" s="1"/>
  <c r="B43" i="26"/>
  <c r="L43" i="25"/>
  <c r="P23" i="25"/>
  <c r="L43" i="18"/>
  <c r="M23" i="17"/>
  <c r="N42" i="20"/>
  <c r="T42" i="20" s="1"/>
  <c r="N42" i="21"/>
  <c r="T42" i="21" s="1"/>
  <c r="J43" i="21"/>
  <c r="M43" i="21" s="1"/>
  <c r="P42" i="16"/>
  <c r="Q42" i="16"/>
  <c r="J43" i="28"/>
  <c r="H41" i="21"/>
  <c r="L23" i="20"/>
  <c r="K43" i="20"/>
  <c r="L43" i="27"/>
  <c r="P23" i="27"/>
  <c r="B24" i="20"/>
  <c r="B23" i="20" s="1"/>
  <c r="P41" i="16"/>
  <c r="J43" i="26"/>
  <c r="L23" i="21"/>
  <c r="H23" i="21"/>
  <c r="O43" i="26"/>
  <c r="P23" i="26"/>
  <c r="F24" i="20"/>
  <c r="F23" i="20" s="1"/>
  <c r="J24" i="21"/>
  <c r="J23" i="21" s="1"/>
  <c r="Q41" i="18"/>
  <c r="P41" i="18"/>
  <c r="B43" i="21"/>
  <c r="E43" i="21" s="1"/>
  <c r="N42" i="22"/>
  <c r="T42" i="22" s="1"/>
  <c r="M43" i="17"/>
  <c r="O41" i="20"/>
  <c r="U41" i="20" s="1"/>
  <c r="Q41" i="17"/>
  <c r="U43" i="17"/>
  <c r="C30" i="17" s="1"/>
  <c r="E23" i="17"/>
  <c r="B43" i="20"/>
  <c r="O41" i="21"/>
  <c r="M23" i="16"/>
  <c r="Q41" i="16"/>
  <c r="I43" i="15"/>
  <c r="N35" i="20"/>
  <c r="T35" i="20" s="1"/>
  <c r="N37" i="21"/>
  <c r="T37" i="21" s="1"/>
  <c r="P35" i="27"/>
  <c r="Q35" i="27" s="1"/>
  <c r="N33" i="21"/>
  <c r="T33" i="21" s="1"/>
  <c r="I43" i="27"/>
  <c r="I43" i="26"/>
  <c r="I43" i="28"/>
  <c r="L40" i="21"/>
  <c r="N41" i="22"/>
  <c r="T41" i="22" s="1"/>
  <c r="M43" i="18"/>
  <c r="P23" i="16"/>
  <c r="E43" i="17"/>
  <c r="N43" i="15"/>
  <c r="Q43" i="15" s="1"/>
  <c r="N37" i="20"/>
  <c r="T37" i="20" s="1"/>
  <c r="P35" i="16"/>
  <c r="E43" i="25"/>
  <c r="N23" i="28"/>
  <c r="N35" i="21"/>
  <c r="T35" i="21" s="1"/>
  <c r="E36" i="22"/>
  <c r="O35" i="20"/>
  <c r="P35" i="17"/>
  <c r="L34" i="21"/>
  <c r="P23" i="28"/>
  <c r="N34" i="21"/>
  <c r="T34" i="21" s="1"/>
  <c r="M43" i="27"/>
  <c r="E34" i="20"/>
  <c r="N33" i="20"/>
  <c r="T33" i="20" s="1"/>
  <c r="O43" i="25"/>
  <c r="D43" i="25"/>
  <c r="P33" i="25"/>
  <c r="Q33" i="25" s="1"/>
  <c r="D43" i="18"/>
  <c r="N44" i="27"/>
  <c r="N32" i="21"/>
  <c r="T32" i="21" s="1"/>
  <c r="N31" i="21"/>
  <c r="Q31" i="21" s="1"/>
  <c r="E43" i="18"/>
  <c r="N24" i="17"/>
  <c r="N23" i="17" s="1"/>
  <c r="P23" i="17"/>
  <c r="T31" i="17"/>
  <c r="P31" i="15"/>
  <c r="P37" i="26"/>
  <c r="Q37" i="26" s="1"/>
  <c r="N31" i="20"/>
  <c r="Q31" i="20" s="1"/>
  <c r="J43" i="20"/>
  <c r="M23" i="18"/>
  <c r="M23" i="15"/>
  <c r="L43" i="28"/>
  <c r="P37" i="25"/>
  <c r="Q37" i="25" s="1"/>
  <c r="U43" i="16"/>
  <c r="C30" i="16" s="1"/>
  <c r="U43" i="18"/>
  <c r="C30" i="18" s="1"/>
  <c r="N24" i="15"/>
  <c r="N23" i="15" s="1"/>
  <c r="I23" i="16"/>
  <c r="T43" i="26"/>
  <c r="B30" i="26" s="1"/>
  <c r="H43" i="27"/>
  <c r="H43" i="28"/>
  <c r="N23" i="27"/>
  <c r="I43" i="17"/>
  <c r="P35" i="25"/>
  <c r="Q35" i="25" s="1"/>
  <c r="N34" i="20"/>
  <c r="T34" i="20" s="1"/>
  <c r="N32" i="20"/>
  <c r="T32" i="20" s="1"/>
  <c r="U43" i="25"/>
  <c r="C30" i="25" s="1"/>
  <c r="U43" i="26"/>
  <c r="C30" i="26" s="1"/>
  <c r="U43" i="28"/>
  <c r="C30" i="28" s="1"/>
  <c r="L37" i="21"/>
  <c r="H43" i="22"/>
  <c r="P32" i="27"/>
  <c r="Q32" i="27" s="1"/>
  <c r="T32" i="27"/>
  <c r="P34" i="17"/>
  <c r="Q34" i="17"/>
  <c r="T34" i="17"/>
  <c r="T41" i="15"/>
  <c r="P41" i="15"/>
  <c r="Q41" i="15"/>
  <c r="P32" i="15"/>
  <c r="T32" i="15"/>
  <c r="Q32" i="15"/>
  <c r="T34" i="16"/>
  <c r="T43" i="16" s="1"/>
  <c r="B30" i="16" s="1"/>
  <c r="P34" i="16"/>
  <c r="Q34" i="16"/>
  <c r="P32" i="18"/>
  <c r="T32" i="18"/>
  <c r="Q32" i="18"/>
  <c r="D36" i="20"/>
  <c r="E36" i="20"/>
  <c r="D31" i="20"/>
  <c r="E31" i="20"/>
  <c r="D43" i="17"/>
  <c r="D23" i="21"/>
  <c r="D43" i="28"/>
  <c r="P41" i="28"/>
  <c r="Q41" i="28" s="1"/>
  <c r="P23" i="18"/>
  <c r="N43" i="16"/>
  <c r="Q43" i="16" s="1"/>
  <c r="P31" i="27"/>
  <c r="Q31" i="27" s="1"/>
  <c r="T31" i="27"/>
  <c r="N43" i="17"/>
  <c r="Q43" i="17" s="1"/>
  <c r="H43" i="17"/>
  <c r="E43" i="16"/>
  <c r="I36" i="21"/>
  <c r="P39" i="26"/>
  <c r="Q39" i="26" s="1"/>
  <c r="M41" i="22"/>
  <c r="P16" i="20"/>
  <c r="Q16" i="20" s="1"/>
  <c r="P16" i="21"/>
  <c r="Q16" i="21" s="1"/>
  <c r="P18" i="20"/>
  <c r="Q18" i="20" s="1"/>
  <c r="P18" i="21"/>
  <c r="Q18" i="21" s="1"/>
  <c r="P20" i="20"/>
  <c r="Q20" i="20" s="1"/>
  <c r="P21" i="20"/>
  <c r="Q21" i="20" s="1"/>
  <c r="P23" i="22"/>
  <c r="Q23" i="22" s="1"/>
  <c r="P17" i="20"/>
  <c r="Q17" i="20" s="1"/>
  <c r="P17" i="21"/>
  <c r="Q17" i="21" s="1"/>
  <c r="P19" i="20"/>
  <c r="Q19" i="20" s="1"/>
  <c r="P19" i="21"/>
  <c r="Q19" i="21" s="1"/>
  <c r="P21" i="22"/>
  <c r="Q21" i="22" s="1"/>
  <c r="P20" i="21"/>
  <c r="Q20" i="21" s="1"/>
  <c r="I41" i="21"/>
  <c r="P22" i="22"/>
  <c r="Q22" i="22" s="1"/>
  <c r="P21" i="21"/>
  <c r="Q21" i="21" s="1"/>
  <c r="P22" i="20"/>
  <c r="Q22" i="20" s="1"/>
  <c r="P22" i="21"/>
  <c r="Q22" i="21" s="1"/>
  <c r="E43" i="22"/>
  <c r="L42" i="21"/>
  <c r="L43" i="22"/>
  <c r="M43" i="22"/>
  <c r="P42" i="28"/>
  <c r="Q42" i="28" s="1"/>
  <c r="I43" i="16"/>
  <c r="N44" i="28"/>
  <c r="E42" i="22"/>
  <c r="D42" i="22"/>
  <c r="P41" i="26"/>
  <c r="Q41" i="26" s="1"/>
  <c r="E41" i="20"/>
  <c r="D41" i="20"/>
  <c r="D40" i="21"/>
  <c r="C44" i="21"/>
  <c r="L40" i="20"/>
  <c r="O44" i="27"/>
  <c r="O43" i="27" s="1"/>
  <c r="P40" i="27"/>
  <c r="U40" i="27"/>
  <c r="U43" i="27" s="1"/>
  <c r="C30" i="27" s="1"/>
  <c r="E40" i="27"/>
  <c r="E43" i="27" s="1"/>
  <c r="D43" i="27"/>
  <c r="T40" i="18"/>
  <c r="N43" i="18"/>
  <c r="Q43" i="18" s="1"/>
  <c r="Q40" i="18"/>
  <c r="P40" i="18"/>
  <c r="D41" i="22"/>
  <c r="M40" i="22"/>
  <c r="E23" i="16"/>
  <c r="E40" i="22"/>
  <c r="P38" i="26"/>
  <c r="Q38" i="26" s="1"/>
  <c r="P38" i="25"/>
  <c r="Q38" i="25" s="1"/>
  <c r="E38" i="20"/>
  <c r="D38" i="20"/>
  <c r="C44" i="20"/>
  <c r="L38" i="22"/>
  <c r="K45" i="22"/>
  <c r="N44" i="26"/>
  <c r="N44" i="25"/>
  <c r="E38" i="22"/>
  <c r="D38" i="22"/>
  <c r="Q36" i="25"/>
  <c r="O24" i="20"/>
  <c r="O23" i="20"/>
  <c r="P11" i="20"/>
  <c r="P15" i="20"/>
  <c r="Q15" i="20" s="1"/>
  <c r="P13" i="20"/>
  <c r="Q13" i="20" s="1"/>
  <c r="P14" i="21"/>
  <c r="Q14" i="21" s="1"/>
  <c r="P12" i="21"/>
  <c r="Q12" i="21" s="1"/>
  <c r="P16" i="22"/>
  <c r="Q16" i="22" s="1"/>
  <c r="I36" i="22"/>
  <c r="I34" i="22"/>
  <c r="H32" i="22"/>
  <c r="O24" i="21"/>
  <c r="P11" i="21"/>
  <c r="O23" i="21"/>
  <c r="P14" i="20"/>
  <c r="Q14" i="20" s="1"/>
  <c r="P12" i="20"/>
  <c r="Q12" i="20" s="1"/>
  <c r="P15" i="21"/>
  <c r="Q15" i="21" s="1"/>
  <c r="P13" i="21"/>
  <c r="Q13" i="21" s="1"/>
  <c r="E35" i="22"/>
  <c r="U31" i="21"/>
  <c r="U43" i="22"/>
  <c r="U42" i="22"/>
  <c r="U41" i="22"/>
  <c r="U39" i="22"/>
  <c r="U42" i="20"/>
  <c r="U40" i="20"/>
  <c r="P40" i="20"/>
  <c r="U39" i="20"/>
  <c r="Q39" i="20"/>
  <c r="U38" i="20"/>
  <c r="U37" i="20"/>
  <c r="U36" i="20"/>
  <c r="P36" i="20"/>
  <c r="U34" i="20"/>
  <c r="U33" i="20"/>
  <c r="U32" i="20"/>
  <c r="U31" i="20"/>
  <c r="U42" i="21"/>
  <c r="U40" i="21"/>
  <c r="U39" i="21"/>
  <c r="U38" i="21"/>
  <c r="U37" i="21"/>
  <c r="U36" i="21"/>
  <c r="U35" i="21"/>
  <c r="U34" i="21"/>
  <c r="U33" i="21"/>
  <c r="U32" i="21"/>
  <c r="L36" i="22" l="1"/>
  <c r="F44" i="22"/>
  <c r="O34" i="22"/>
  <c r="P34" i="22" s="1"/>
  <c r="N34" i="22"/>
  <c r="T34" i="22" s="1"/>
  <c r="P20" i="22"/>
  <c r="Q20" i="22" s="1"/>
  <c r="N40" i="22"/>
  <c r="T40" i="22" s="1"/>
  <c r="M32" i="22"/>
  <c r="G44" i="22"/>
  <c r="P39" i="21"/>
  <c r="P19" i="22"/>
  <c r="Q19" i="22" s="1"/>
  <c r="N39" i="22"/>
  <c r="T39" i="22" s="1"/>
  <c r="Q38" i="20"/>
  <c r="Q38" i="21"/>
  <c r="P38" i="21"/>
  <c r="P18" i="22"/>
  <c r="Q18" i="22" s="1"/>
  <c r="N38" i="22"/>
  <c r="T38" i="22" s="1"/>
  <c r="E37" i="22"/>
  <c r="P17" i="22"/>
  <c r="Q17" i="22" s="1"/>
  <c r="N37" i="22"/>
  <c r="T37" i="22" s="1"/>
  <c r="H24" i="22"/>
  <c r="B44" i="22"/>
  <c r="J44" i="22"/>
  <c r="M44" i="22" s="1"/>
  <c r="I43" i="21"/>
  <c r="L24" i="22"/>
  <c r="L33" i="22"/>
  <c r="I33" i="22"/>
  <c r="G45" i="22"/>
  <c r="E32" i="22"/>
  <c r="P43" i="15"/>
  <c r="Q39" i="21"/>
  <c r="L43" i="20"/>
  <c r="Q36" i="21"/>
  <c r="P36" i="21"/>
  <c r="Q36" i="20"/>
  <c r="H43" i="20"/>
  <c r="P35" i="21"/>
  <c r="I35" i="22"/>
  <c r="H35" i="22"/>
  <c r="H44" i="22" s="1"/>
  <c r="F25" i="22"/>
  <c r="F24" i="22" s="1"/>
  <c r="N35" i="22"/>
  <c r="T35" i="22" s="1"/>
  <c r="Q33" i="20"/>
  <c r="Q32" i="21"/>
  <c r="P32" i="21"/>
  <c r="C44" i="22"/>
  <c r="N33" i="22"/>
  <c r="T33" i="22" s="1"/>
  <c r="Q32" i="20"/>
  <c r="E33" i="22"/>
  <c r="T43" i="27"/>
  <c r="B30" i="27" s="1"/>
  <c r="P33" i="22"/>
  <c r="P31" i="21"/>
  <c r="P13" i="22"/>
  <c r="Q13" i="22" s="1"/>
  <c r="C45" i="22"/>
  <c r="D43" i="21"/>
  <c r="Q23" i="18"/>
  <c r="N32" i="22"/>
  <c r="T32" i="22" s="1"/>
  <c r="Q23" i="16"/>
  <c r="O32" i="22"/>
  <c r="U32" i="22" s="1"/>
  <c r="T31" i="21"/>
  <c r="T43" i="21" s="1"/>
  <c r="B30" i="21" s="1"/>
  <c r="D24" i="22"/>
  <c r="Q34" i="20"/>
  <c r="T43" i="28"/>
  <c r="B30" i="28" s="1"/>
  <c r="Q23" i="28"/>
  <c r="Q42" i="20"/>
  <c r="Q42" i="22"/>
  <c r="P41" i="21"/>
  <c r="E43" i="20"/>
  <c r="O44" i="21"/>
  <c r="O43" i="21"/>
  <c r="Q40" i="21"/>
  <c r="P40" i="21"/>
  <c r="Q40" i="20"/>
  <c r="P41" i="22"/>
  <c r="Q41" i="22"/>
  <c r="P39" i="20"/>
  <c r="Q40" i="22"/>
  <c r="P43" i="16"/>
  <c r="P38" i="20"/>
  <c r="J25" i="22"/>
  <c r="J24" i="22" s="1"/>
  <c r="M24" i="22" s="1"/>
  <c r="M23" i="20"/>
  <c r="P39" i="22"/>
  <c r="B25" i="22"/>
  <c r="B24" i="22" s="1"/>
  <c r="Q37" i="21"/>
  <c r="P37" i="21"/>
  <c r="P37" i="20"/>
  <c r="L43" i="21"/>
  <c r="I44" i="22"/>
  <c r="T43" i="15"/>
  <c r="B30" i="15" s="1"/>
  <c r="P35" i="20"/>
  <c r="Q35" i="20"/>
  <c r="Q35" i="21"/>
  <c r="Q36" i="22"/>
  <c r="P36" i="22"/>
  <c r="U35" i="20"/>
  <c r="U43" i="20" s="1"/>
  <c r="C30" i="20" s="1"/>
  <c r="O25" i="22"/>
  <c r="N26" i="22" s="1"/>
  <c r="N43" i="26"/>
  <c r="L35" i="22"/>
  <c r="P15" i="22"/>
  <c r="Q15" i="22" s="1"/>
  <c r="H43" i="21"/>
  <c r="O24" i="22"/>
  <c r="D35" i="22"/>
  <c r="D44" i="22" s="1"/>
  <c r="Q23" i="26"/>
  <c r="P33" i="20"/>
  <c r="Q33" i="21"/>
  <c r="E23" i="20"/>
  <c r="Q34" i="22"/>
  <c r="Q23" i="27"/>
  <c r="N43" i="25"/>
  <c r="Q23" i="25"/>
  <c r="T43" i="18"/>
  <c r="B30" i="18" s="1"/>
  <c r="I23" i="20"/>
  <c r="M43" i="20"/>
  <c r="Q23" i="15"/>
  <c r="P31" i="20"/>
  <c r="T31" i="20"/>
  <c r="T43" i="20" s="1"/>
  <c r="B30" i="20" s="1"/>
  <c r="I23" i="21"/>
  <c r="P32" i="20"/>
  <c r="Q33" i="22"/>
  <c r="T43" i="17"/>
  <c r="B30" i="17" s="1"/>
  <c r="P43" i="17"/>
  <c r="P33" i="21"/>
  <c r="Q34" i="21"/>
  <c r="P34" i="21"/>
  <c r="P34" i="20"/>
  <c r="Q37" i="20"/>
  <c r="P40" i="22"/>
  <c r="N43" i="21"/>
  <c r="Q42" i="21"/>
  <c r="P42" i="21"/>
  <c r="N43" i="28"/>
  <c r="P42" i="20"/>
  <c r="P43" i="22"/>
  <c r="Q43" i="22"/>
  <c r="N43" i="20"/>
  <c r="E23" i="21"/>
  <c r="O43" i="20"/>
  <c r="P41" i="20"/>
  <c r="P42" i="22"/>
  <c r="M23" i="21"/>
  <c r="U41" i="21"/>
  <c r="U43" i="21" s="1"/>
  <c r="C30" i="21" s="1"/>
  <c r="O44" i="20"/>
  <c r="Q41" i="20"/>
  <c r="Q41" i="21"/>
  <c r="D43" i="20"/>
  <c r="N43" i="27"/>
  <c r="Q23" i="17"/>
  <c r="P43" i="18"/>
  <c r="P43" i="26"/>
  <c r="Q43" i="25"/>
  <c r="P43" i="25"/>
  <c r="P43" i="28"/>
  <c r="Q43" i="28"/>
  <c r="Q40" i="27"/>
  <c r="Q43" i="27" s="1"/>
  <c r="P43" i="27"/>
  <c r="Q43" i="26"/>
  <c r="Q11" i="21"/>
  <c r="P23" i="21"/>
  <c r="P23" i="20"/>
  <c r="Q11" i="20"/>
  <c r="N25" i="20"/>
  <c r="N24" i="20"/>
  <c r="N25" i="21"/>
  <c r="N24" i="21"/>
  <c r="Q12" i="22"/>
  <c r="O45" i="22" l="1"/>
  <c r="O44" i="22"/>
  <c r="U34" i="22"/>
  <c r="U44" i="22" s="1"/>
  <c r="C31" i="22" s="1"/>
  <c r="L44" i="22"/>
  <c r="Q39" i="22"/>
  <c r="P37" i="22"/>
  <c r="E44" i="22"/>
  <c r="P38" i="22"/>
  <c r="Q38" i="22"/>
  <c r="Q37" i="22"/>
  <c r="I24" i="22"/>
  <c r="Q35" i="22"/>
  <c r="P35" i="22"/>
  <c r="N44" i="22"/>
  <c r="Q44" i="22" s="1"/>
  <c r="T44" i="22"/>
  <c r="B31" i="22" s="1"/>
  <c r="Q43" i="21"/>
  <c r="P32" i="22"/>
  <c r="Q32" i="22"/>
  <c r="E24" i="22"/>
  <c r="N25" i="22"/>
  <c r="N24" i="22" s="1"/>
  <c r="P24" i="22"/>
  <c r="P43" i="21"/>
  <c r="Q43" i="20"/>
  <c r="P43" i="20"/>
  <c r="N23" i="21"/>
  <c r="Q23" i="21" s="1"/>
  <c r="N23" i="20"/>
  <c r="Q23" i="20" s="1"/>
  <c r="P44" i="22" l="1"/>
  <c r="Q24" i="22"/>
</calcChain>
</file>

<file path=xl/sharedStrings.xml><?xml version="1.0" encoding="utf-8"?>
<sst xmlns="http://schemas.openxmlformats.org/spreadsheetml/2006/main" count="607" uniqueCount="35">
  <si>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</si>
  <si>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</si>
  <si>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</si>
  <si>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</si>
  <si>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</si>
  <si>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</si>
  <si>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</si>
  <si>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</si>
  <si>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</si>
  <si>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</si>
  <si>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</si>
  <si>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</si>
  <si>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</si>
  <si>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</si>
  <si>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</si>
  <si>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</si>
  <si>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</si>
  <si>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</si>
  <si>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</si>
  <si>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</si>
  <si>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</si>
  <si>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</si>
  <si>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</si>
  <si>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</si>
  <si>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</si>
  <si>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</si>
  <si>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</si>
  <si>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</si>
  <si>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</si>
  <si>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</si>
  <si>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</si>
  <si>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unter Berücksichtigung der unterschiedlichen Anzahl Tage des Vorjahres/aktuellen Jahres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</si>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</sst>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6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3" fillId="0" borderId="34" xfId="0" applyFont="1" applyBorder="1" applyProtection="1">
      <protection hidden="1"/>
    </xf>
    <xf numFmtId="165" fontId="3" fillId="5" borderId="32" xfId="2" applyNumberFormat="1" applyFont="1" applyFill="1" applyBorder="1" applyProtection="1">
      <protection hidden="1"/>
    </xf>
    <xf numFmtId="3" fontId="3" fillId="10" borderId="8" xfId="0" applyNumberFormat="1" applyFont="1" applyFill="1" applyBorder="1" applyProtection="1">
      <protection locked="0"/>
    </xf>
    <xf numFmtId="3" fontId="3" fillId="10" borderId="12" xfId="0" applyNumberFormat="1" applyFont="1" applyFill="1" applyBorder="1" applyProtection="1">
      <protection locked="0"/>
    </xf>
    <xf numFmtId="3" fontId="3" fillId="10" borderId="33" xfId="0" applyNumberFormat="1" applyFont="1" applyFill="1" applyBorder="1" applyProtection="1">
      <protection locked="0"/>
    </xf>
    <xf numFmtId="3" fontId="3" fillId="10" borderId="8" xfId="0" applyNumberFormat="1" applyFont="1" applyFill="1" applyBorder="1" applyProtection="1">
      <protection locked="0" hidden="1"/>
    </xf>
    <xf numFmtId="3" fontId="3" fillId="10" borderId="12" xfId="0" applyNumberFormat="1" applyFont="1" applyFill="1" applyBorder="1" applyProtection="1">
      <protection locked="0" hidden="1"/>
    </xf>
    <xf numFmtId="3" fontId="3" fillId="10" borderId="33" xfId="0" applyNumberFormat="1" applyFont="1" applyFill="1" applyBorder="1" applyProtection="1">
      <protection locked="0" hidden="1"/>
    </xf>
    <xf numFmtId="0" fontId="6" fillId="2" borderId="2" xfId="0" applyFont="1" applyFill="1" applyBorder="1" applyAlignment="1" applyProtection="1">
      <alignment vertical="center"/>
      <protection hidden="1"/>
    </xf>
    <xf numFmtId="3" fontId="3" fillId="3" borderId="8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33" xfId="0" applyNumberFormat="1" applyFont="1" applyFill="1" applyBorder="1" applyProtection="1">
      <protection hidden="1"/>
    </xf>
    <xf numFmtId="0" fontId="7" fillId="4" borderId="35" xfId="0" applyFont="1" applyFill="1" applyBorder="1" applyAlignment="1" applyProtection="1">
      <alignment horizontal="center"/>
      <protection hidden="1"/>
    </xf>
    <xf numFmtId="0" fontId="7" fillId="4" borderId="36" xfId="0" applyFont="1" applyFill="1" applyBorder="1" applyAlignment="1" applyProtection="1">
      <alignment horizontal="center"/>
      <protection hidden="1"/>
    </xf>
    <xf numFmtId="0" fontId="7" fillId="4" borderId="37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0" fontId="15" fillId="11" borderId="13" xfId="0" applyFont="1" applyFill="1" applyBorder="1" applyAlignment="1" applyProtection="1">
      <alignment horizontal="right"/>
      <protection hidden="1"/>
    </xf>
    <xf numFmtId="3" fontId="15" fillId="11" borderId="13" xfId="0" applyNumberFormat="1" applyFont="1" applyFill="1" applyBorder="1" applyProtection="1">
      <protection hidden="1"/>
    </xf>
    <xf numFmtId="38" fontId="15" fillId="11" borderId="13" xfId="0" applyNumberFormat="1" applyFont="1" applyFill="1" applyBorder="1" applyProtection="1">
      <protection hidden="1"/>
    </xf>
    <xf numFmtId="164" fontId="15" fillId="11" borderId="13" xfId="2" applyNumberFormat="1" applyFont="1" applyFill="1" applyBorder="1" applyProtection="1">
      <protection hidden="1"/>
    </xf>
    <xf numFmtId="0" fontId="16" fillId="11" borderId="0" xfId="0" applyFont="1" applyFill="1" applyProtection="1">
      <protection hidden="1"/>
    </xf>
    <xf numFmtId="3" fontId="16" fillId="11" borderId="13" xfId="0" applyNumberFormat="1" applyFont="1" applyFill="1" applyBorder="1" applyProtection="1">
      <protection hidden="1"/>
    </xf>
    <xf numFmtId="38" fontId="16" fillId="11" borderId="13" xfId="0" applyNumberFormat="1" applyFont="1" applyFill="1" applyBorder="1" applyProtection="1">
      <protection hidden="1"/>
    </xf>
    <xf numFmtId="165" fontId="16" fillId="11" borderId="13" xfId="2" applyNumberFormat="1" applyFont="1" applyFill="1" applyBorder="1" applyProtection="1">
      <protection hidden="1"/>
    </xf>
    <xf numFmtId="164" fontId="16" fillId="11" borderId="13" xfId="2" applyNumberFormat="1" applyFont="1" applyFill="1" applyBorder="1" applyProtection="1"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85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6</xdr:col>
      <xdr:colOff>381000</xdr:colOff>
      <xdr:row>0</xdr:row>
      <xdr:rowOff>990600</xdr:rowOff>
    </xdr:to>
    <xdr:grpSp>
      <xdr:nvGrpSpPr>
        <xdr:cNvPr id="4" name="Gruppieren 3"/>
        <xdr:cNvGrpSpPr/>
      </xdr:nvGrpSpPr>
      <xdr:grpSpPr>
        <a:xfrm>
          <a:off x="28575" y="0"/>
          <a:ext cx="3467100" cy="990600"/>
          <a:chOff x="28575" y="0"/>
          <a:chExt cx="3467100" cy="990600"/>
        </a:xfrm>
      </xdr:grpSpPr>
      <xdr:sp macro="" textlink="">
        <xdr:nvSpPr>
          <xdr:cNvPr id="2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3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6</xdr:col>
      <xdr:colOff>381000</xdr:colOff>
      <xdr:row>0</xdr:row>
      <xdr:rowOff>1000125</xdr:rowOff>
    </xdr:to>
    <xdr:grpSp>
      <xdr:nvGrpSpPr>
        <xdr:cNvPr id="2" name="Gruppieren 1"/>
        <xdr:cNvGrpSpPr/>
      </xdr:nvGrpSpPr>
      <xdr:grpSpPr>
        <a:xfrm>
          <a:off x="28575" y="9525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6</xdr:col>
      <xdr:colOff>390525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38100" y="0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6</xdr:col>
      <xdr:colOff>390525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38100" y="0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6</xdr:col>
      <xdr:colOff>400050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47625" y="0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6</xdr:col>
      <xdr:colOff>381000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28575" y="0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6</xdr:col>
      <xdr:colOff>390525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38100" y="0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6</xdr:col>
      <xdr:colOff>381000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28575" y="0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6</xdr:col>
      <xdr:colOff>390525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38100" y="0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6</xdr:col>
      <xdr:colOff>390525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38100" y="0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6</xdr:col>
      <xdr:colOff>381000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28575" y="0"/>
          <a:ext cx="3467100" cy="990600"/>
          <a:chOff x="28575" y="0"/>
          <a:chExt cx="346710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391254" y="0"/>
            <a:ext cx="310442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Schweizerische Eidgenossenschaft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Confédération suisse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Confederazione Svizzera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Confederaziun svizra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Eidgenössisches Finanzdepartement EFD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de-CH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Eidg. Zollverwaltung EZV</a:t>
            </a: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de-CH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47624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0"/>
  <sheetViews>
    <sheetView showGridLines="0" tabSelected="1" workbookViewId="0">
      <selection activeCell="C11" sqref="C11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83" t="s">
        <v>18</v>
      </c>
      <c r="B2" s="125" t="s">
        <v>33</v>
      </c>
      <c r="C2" s="125"/>
      <c r="D2" s="125"/>
      <c r="E2" s="125"/>
      <c r="O2" s="5"/>
      <c r="P2" s="5"/>
      <c r="Q2" s="79"/>
    </row>
    <row r="3" spans="1:17" ht="13.5" customHeight="1" x14ac:dyDescent="0.2">
      <c r="A3" s="1"/>
      <c r="B3" s="126" t="s">
        <v>20</v>
      </c>
      <c r="C3" s="126"/>
      <c r="D3" s="127" t="s">
        <v>19</v>
      </c>
      <c r="E3" s="127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17" t="s">
        <v>30</v>
      </c>
      <c r="C6" s="118"/>
      <c r="D6" s="118"/>
      <c r="E6" s="118"/>
      <c r="F6" s="9"/>
    </row>
    <row r="7" spans="1:17" ht="11.25" customHeight="1" thickBot="1" x14ac:dyDescent="0.25">
      <c r="B7" s="119"/>
      <c r="C7" s="119"/>
      <c r="D7" s="119"/>
      <c r="E7" s="119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v>2016</v>
      </c>
      <c r="C9" s="46"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89">
        <v>1620</v>
      </c>
      <c r="C11" s="27">
        <v>1449</v>
      </c>
      <c r="D11" s="21">
        <f>IF(OR(C11="",B11=0),"",C11-B11)</f>
        <v>-171</v>
      </c>
      <c r="E11" s="60">
        <f t="shared" ref="E11:E23" si="0">IF(D11="","",D11/B11)</f>
        <v>-0.10555555555555556</v>
      </c>
      <c r="F11" s="89">
        <v>626</v>
      </c>
      <c r="G11" s="27">
        <v>694</v>
      </c>
      <c r="H11" s="21">
        <f>IF(OR(G11="",F11=0),"",G11-F11)</f>
        <v>68</v>
      </c>
      <c r="I11" s="60">
        <f t="shared" ref="I11:I23" si="1">IF(H11="","",H11/F11)</f>
        <v>0.10862619808306709</v>
      </c>
      <c r="J11" s="89">
        <v>216</v>
      </c>
      <c r="K11" s="27">
        <v>215</v>
      </c>
      <c r="L11" s="21">
        <f>IF(OR(K11="",J11=0),"",K11-J11)</f>
        <v>-1</v>
      </c>
      <c r="M11" s="58">
        <f t="shared" ref="M11:M23" si="2">IF(L11="","",L11/J11)</f>
        <v>-4.6296296296296294E-3</v>
      </c>
      <c r="N11" s="33">
        <f t="shared" ref="N11:N22" si="3">SUM(B11,F11,J11)</f>
        <v>2462</v>
      </c>
      <c r="O11" s="30">
        <f t="shared" ref="O11:O22" si="4">IF(C11="","",SUM(C11,G11,K11))</f>
        <v>2358</v>
      </c>
      <c r="P11" s="21">
        <f>IF(OR(O11="",N11=0),"",O11-N11)</f>
        <v>-104</v>
      </c>
      <c r="Q11" s="58">
        <f t="shared" ref="Q11:Q23" si="5">IF(P11="","",P11/N11)</f>
        <v>-4.2242079610073112E-2</v>
      </c>
    </row>
    <row r="12" spans="1:17" ht="11.25" customHeight="1" x14ac:dyDescent="0.2">
      <c r="A12" s="20" t="s">
        <v>7</v>
      </c>
      <c r="B12" s="89">
        <v>2176</v>
      </c>
      <c r="C12" s="27">
        <v>1821</v>
      </c>
      <c r="D12" s="21">
        <f t="shared" ref="D12:D22" si="6">IF(OR(C12="",B12=0),"",C12-B12)</f>
        <v>-355</v>
      </c>
      <c r="E12" s="60">
        <f t="shared" si="0"/>
        <v>-0.16314338235294118</v>
      </c>
      <c r="F12" s="89">
        <v>802</v>
      </c>
      <c r="G12" s="27">
        <v>741</v>
      </c>
      <c r="H12" s="21">
        <f t="shared" ref="H12:H22" si="7">IF(OR(G12="",F12=0),"",G12-F12)</f>
        <v>-61</v>
      </c>
      <c r="I12" s="60">
        <f t="shared" si="1"/>
        <v>-7.6059850374064833E-2</v>
      </c>
      <c r="J12" s="89">
        <v>247</v>
      </c>
      <c r="K12" s="27">
        <v>252</v>
      </c>
      <c r="L12" s="21">
        <f t="shared" ref="L12:L22" si="8">IF(OR(K12="",J12=0),"",K12-J12)</f>
        <v>5</v>
      </c>
      <c r="M12" s="58">
        <f t="shared" si="2"/>
        <v>2.0242914979757085E-2</v>
      </c>
      <c r="N12" s="33">
        <f t="shared" si="3"/>
        <v>3225</v>
      </c>
      <c r="O12" s="30">
        <f t="shared" si="4"/>
        <v>2814</v>
      </c>
      <c r="P12" s="21">
        <f t="shared" ref="P12:P22" si="9">IF(OR(O12="",N12=0),"",O12-N12)</f>
        <v>-411</v>
      </c>
      <c r="Q12" s="58">
        <f t="shared" si="5"/>
        <v>-0.12744186046511627</v>
      </c>
    </row>
    <row r="13" spans="1:17" ht="11.25" customHeight="1" x14ac:dyDescent="0.2">
      <c r="A13" s="87" t="s">
        <v>8</v>
      </c>
      <c r="B13" s="90">
        <v>2399</v>
      </c>
      <c r="C13" s="28">
        <v>2515</v>
      </c>
      <c r="D13" s="22">
        <f t="shared" si="6"/>
        <v>116</v>
      </c>
      <c r="E13" s="61">
        <f t="shared" si="0"/>
        <v>4.8353480616923718E-2</v>
      </c>
      <c r="F13" s="90">
        <v>682</v>
      </c>
      <c r="G13" s="28">
        <v>826</v>
      </c>
      <c r="H13" s="22">
        <f t="shared" si="7"/>
        <v>144</v>
      </c>
      <c r="I13" s="61">
        <f t="shared" si="1"/>
        <v>0.21114369501466276</v>
      </c>
      <c r="J13" s="90">
        <v>320</v>
      </c>
      <c r="K13" s="28">
        <v>278</v>
      </c>
      <c r="L13" s="22">
        <f t="shared" si="8"/>
        <v>-42</v>
      </c>
      <c r="M13" s="59">
        <f t="shared" si="2"/>
        <v>-0.13125000000000001</v>
      </c>
      <c r="N13" s="35">
        <f t="shared" si="3"/>
        <v>3401</v>
      </c>
      <c r="O13" s="31">
        <f t="shared" si="4"/>
        <v>3619</v>
      </c>
      <c r="P13" s="22">
        <f t="shared" si="9"/>
        <v>218</v>
      </c>
      <c r="Q13" s="59">
        <f t="shared" si="5"/>
        <v>6.409879447221406E-2</v>
      </c>
    </row>
    <row r="14" spans="1:17" ht="11.25" customHeight="1" x14ac:dyDescent="0.2">
      <c r="A14" s="20" t="s">
        <v>9</v>
      </c>
      <c r="B14" s="89">
        <v>2633</v>
      </c>
      <c r="C14" s="27">
        <v>2286</v>
      </c>
      <c r="D14" s="21">
        <f t="shared" si="6"/>
        <v>-347</v>
      </c>
      <c r="E14" s="60">
        <f t="shared" si="0"/>
        <v>-0.13178883402962399</v>
      </c>
      <c r="F14" s="89">
        <v>757</v>
      </c>
      <c r="G14" s="27">
        <v>708</v>
      </c>
      <c r="H14" s="21">
        <f t="shared" si="7"/>
        <v>-49</v>
      </c>
      <c r="I14" s="60">
        <f t="shared" si="1"/>
        <v>-6.4729194187582564E-2</v>
      </c>
      <c r="J14" s="89">
        <v>287</v>
      </c>
      <c r="K14" s="27">
        <v>244</v>
      </c>
      <c r="L14" s="21">
        <f t="shared" si="8"/>
        <v>-43</v>
      </c>
      <c r="M14" s="58">
        <f t="shared" si="2"/>
        <v>-0.14982578397212543</v>
      </c>
      <c r="N14" s="33">
        <f t="shared" si="3"/>
        <v>3677</v>
      </c>
      <c r="O14" s="30">
        <f t="shared" si="4"/>
        <v>3238</v>
      </c>
      <c r="P14" s="21">
        <f t="shared" si="9"/>
        <v>-439</v>
      </c>
      <c r="Q14" s="58">
        <f t="shared" si="5"/>
        <v>-0.11939080772368779</v>
      </c>
    </row>
    <row r="15" spans="1:17" ht="11.25" customHeight="1" x14ac:dyDescent="0.2">
      <c r="A15" s="20" t="s">
        <v>10</v>
      </c>
      <c r="B15" s="89">
        <v>2487</v>
      </c>
      <c r="C15" s="27">
        <v>2595</v>
      </c>
      <c r="D15" s="21">
        <f t="shared" si="6"/>
        <v>108</v>
      </c>
      <c r="E15" s="60">
        <f t="shared" si="0"/>
        <v>4.3425814234016889E-2</v>
      </c>
      <c r="F15" s="89">
        <v>625</v>
      </c>
      <c r="G15" s="27">
        <v>883</v>
      </c>
      <c r="H15" s="21">
        <f t="shared" si="7"/>
        <v>258</v>
      </c>
      <c r="I15" s="60">
        <f t="shared" si="1"/>
        <v>0.4128</v>
      </c>
      <c r="J15" s="89">
        <v>246</v>
      </c>
      <c r="K15" s="27">
        <v>257</v>
      </c>
      <c r="L15" s="21">
        <f t="shared" si="8"/>
        <v>11</v>
      </c>
      <c r="M15" s="58">
        <f t="shared" si="2"/>
        <v>4.4715447154471545E-2</v>
      </c>
      <c r="N15" s="33">
        <f t="shared" si="3"/>
        <v>3358</v>
      </c>
      <c r="O15" s="30">
        <f t="shared" si="4"/>
        <v>3735</v>
      </c>
      <c r="P15" s="21">
        <f t="shared" si="9"/>
        <v>377</v>
      </c>
      <c r="Q15" s="58">
        <f t="shared" si="5"/>
        <v>0.11226920786182251</v>
      </c>
    </row>
    <row r="16" spans="1:17" ht="11.25" customHeight="1" x14ac:dyDescent="0.2">
      <c r="A16" s="87" t="s">
        <v>11</v>
      </c>
      <c r="B16" s="90">
        <v>2729</v>
      </c>
      <c r="C16" s="28">
        <v>2592</v>
      </c>
      <c r="D16" s="22">
        <f t="shared" si="6"/>
        <v>-137</v>
      </c>
      <c r="E16" s="61">
        <f t="shared" si="0"/>
        <v>-5.0201539025283987E-2</v>
      </c>
      <c r="F16" s="90">
        <v>776</v>
      </c>
      <c r="G16" s="28">
        <v>1013</v>
      </c>
      <c r="H16" s="22">
        <f t="shared" si="7"/>
        <v>237</v>
      </c>
      <c r="I16" s="61">
        <f t="shared" si="1"/>
        <v>0.30541237113402064</v>
      </c>
      <c r="J16" s="90">
        <v>267</v>
      </c>
      <c r="K16" s="28">
        <v>262</v>
      </c>
      <c r="L16" s="22">
        <f t="shared" si="8"/>
        <v>-5</v>
      </c>
      <c r="M16" s="59">
        <f t="shared" si="2"/>
        <v>-1.8726591760299626E-2</v>
      </c>
      <c r="N16" s="35">
        <f t="shared" si="3"/>
        <v>3772</v>
      </c>
      <c r="O16" s="31">
        <f t="shared" si="4"/>
        <v>3867</v>
      </c>
      <c r="P16" s="22">
        <f t="shared" si="9"/>
        <v>95</v>
      </c>
      <c r="Q16" s="59">
        <f t="shared" si="5"/>
        <v>2.5185577942735949E-2</v>
      </c>
    </row>
    <row r="17" spans="1:21" ht="11.25" customHeight="1" x14ac:dyDescent="0.2">
      <c r="A17" s="20" t="s">
        <v>12</v>
      </c>
      <c r="B17" s="89">
        <v>2148</v>
      </c>
      <c r="C17" s="27">
        <v>2400</v>
      </c>
      <c r="D17" s="21">
        <f t="shared" si="6"/>
        <v>252</v>
      </c>
      <c r="E17" s="60">
        <f t="shared" si="0"/>
        <v>0.11731843575418995</v>
      </c>
      <c r="F17" s="89">
        <v>595</v>
      </c>
      <c r="G17" s="27">
        <v>742</v>
      </c>
      <c r="H17" s="21">
        <f t="shared" si="7"/>
        <v>147</v>
      </c>
      <c r="I17" s="60">
        <f t="shared" si="1"/>
        <v>0.24705882352941178</v>
      </c>
      <c r="J17" s="89">
        <v>248</v>
      </c>
      <c r="K17" s="27">
        <v>263</v>
      </c>
      <c r="L17" s="21">
        <f t="shared" si="8"/>
        <v>15</v>
      </c>
      <c r="M17" s="58">
        <f t="shared" si="2"/>
        <v>6.0483870967741937E-2</v>
      </c>
      <c r="N17" s="33">
        <f t="shared" si="3"/>
        <v>2991</v>
      </c>
      <c r="O17" s="30">
        <f t="shared" si="4"/>
        <v>3405</v>
      </c>
      <c r="P17" s="21">
        <f t="shared" si="9"/>
        <v>414</v>
      </c>
      <c r="Q17" s="58">
        <f t="shared" si="5"/>
        <v>0.13841524573721165</v>
      </c>
    </row>
    <row r="18" spans="1:21" ht="11.25" customHeight="1" x14ac:dyDescent="0.2">
      <c r="A18" s="20" t="s">
        <v>13</v>
      </c>
      <c r="B18" s="89">
        <v>2026</v>
      </c>
      <c r="C18" s="27">
        <v>2166</v>
      </c>
      <c r="D18" s="21">
        <f t="shared" si="6"/>
        <v>140</v>
      </c>
      <c r="E18" s="60">
        <f t="shared" si="0"/>
        <v>6.9101678183613027E-2</v>
      </c>
      <c r="F18" s="89">
        <v>534</v>
      </c>
      <c r="G18" s="27">
        <v>600</v>
      </c>
      <c r="H18" s="21">
        <f t="shared" si="7"/>
        <v>66</v>
      </c>
      <c r="I18" s="60">
        <f t="shared" si="1"/>
        <v>0.12359550561797752</v>
      </c>
      <c r="J18" s="89">
        <v>229</v>
      </c>
      <c r="K18" s="27">
        <v>246</v>
      </c>
      <c r="L18" s="21">
        <f t="shared" si="8"/>
        <v>17</v>
      </c>
      <c r="M18" s="58">
        <f t="shared" si="2"/>
        <v>7.4235807860262015E-2</v>
      </c>
      <c r="N18" s="33">
        <f t="shared" si="3"/>
        <v>2789</v>
      </c>
      <c r="O18" s="30">
        <f t="shared" si="4"/>
        <v>3012</v>
      </c>
      <c r="P18" s="21">
        <f t="shared" si="9"/>
        <v>223</v>
      </c>
      <c r="Q18" s="58">
        <f t="shared" si="5"/>
        <v>7.9956973825743988E-2</v>
      </c>
    </row>
    <row r="19" spans="1:21" ht="11.25" customHeight="1" x14ac:dyDescent="0.2">
      <c r="A19" s="87" t="s">
        <v>14</v>
      </c>
      <c r="B19" s="90">
        <v>2429</v>
      </c>
      <c r="C19" s="28">
        <v>2924</v>
      </c>
      <c r="D19" s="22">
        <f t="shared" si="6"/>
        <v>495</v>
      </c>
      <c r="E19" s="61">
        <f t="shared" si="0"/>
        <v>0.20378756689995883</v>
      </c>
      <c r="F19" s="90">
        <v>796</v>
      </c>
      <c r="G19" s="28">
        <v>866</v>
      </c>
      <c r="H19" s="22">
        <f t="shared" si="7"/>
        <v>70</v>
      </c>
      <c r="I19" s="61">
        <f t="shared" si="1"/>
        <v>8.7939698492462318E-2</v>
      </c>
      <c r="J19" s="90">
        <v>262</v>
      </c>
      <c r="K19" s="28">
        <v>297</v>
      </c>
      <c r="L19" s="22">
        <f t="shared" si="8"/>
        <v>35</v>
      </c>
      <c r="M19" s="59">
        <f t="shared" si="2"/>
        <v>0.13358778625954199</v>
      </c>
      <c r="N19" s="35">
        <f t="shared" si="3"/>
        <v>3487</v>
      </c>
      <c r="O19" s="31">
        <f t="shared" si="4"/>
        <v>4087</v>
      </c>
      <c r="P19" s="22">
        <f t="shared" si="9"/>
        <v>600</v>
      </c>
      <c r="Q19" s="59">
        <f t="shared" si="5"/>
        <v>0.17206767995411529</v>
      </c>
    </row>
    <row r="20" spans="1:21" ht="11.25" customHeight="1" x14ac:dyDescent="0.2">
      <c r="A20" s="20" t="s">
        <v>15</v>
      </c>
      <c r="B20" s="89">
        <v>2430</v>
      </c>
      <c r="C20" s="27"/>
      <c r="D20" s="21" t="str">
        <f t="shared" si="6"/>
        <v/>
      </c>
      <c r="E20" s="60" t="str">
        <f t="shared" si="0"/>
        <v/>
      </c>
      <c r="F20" s="89">
        <v>805</v>
      </c>
      <c r="G20" s="27"/>
      <c r="H20" s="21" t="str">
        <f t="shared" si="7"/>
        <v/>
      </c>
      <c r="I20" s="60" t="str">
        <f t="shared" si="1"/>
        <v/>
      </c>
      <c r="J20" s="89">
        <v>235</v>
      </c>
      <c r="K20" s="27"/>
      <c r="L20" s="21" t="str">
        <f t="shared" si="8"/>
        <v/>
      </c>
      <c r="M20" s="58" t="str">
        <f t="shared" si="2"/>
        <v/>
      </c>
      <c r="N20" s="33">
        <f t="shared" si="3"/>
        <v>3470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21" ht="11.25" customHeight="1" x14ac:dyDescent="0.2">
      <c r="A21" s="20" t="s">
        <v>16</v>
      </c>
      <c r="B21" s="89">
        <v>2321</v>
      </c>
      <c r="C21" s="27"/>
      <c r="D21" s="21" t="str">
        <f t="shared" si="6"/>
        <v/>
      </c>
      <c r="E21" s="60" t="str">
        <f t="shared" si="0"/>
        <v/>
      </c>
      <c r="F21" s="89">
        <v>758</v>
      </c>
      <c r="G21" s="27"/>
      <c r="H21" s="21" t="str">
        <f t="shared" si="7"/>
        <v/>
      </c>
      <c r="I21" s="60" t="str">
        <f t="shared" si="1"/>
        <v/>
      </c>
      <c r="J21" s="89">
        <v>239</v>
      </c>
      <c r="K21" s="27"/>
      <c r="L21" s="21" t="str">
        <f t="shared" si="8"/>
        <v/>
      </c>
      <c r="M21" s="58" t="str">
        <f t="shared" si="2"/>
        <v/>
      </c>
      <c r="N21" s="33">
        <f t="shared" si="3"/>
        <v>3318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21" ht="11.25" customHeight="1" thickBot="1" x14ac:dyDescent="0.25">
      <c r="A22" s="23" t="s">
        <v>17</v>
      </c>
      <c r="B22" s="91">
        <v>1719</v>
      </c>
      <c r="C22" s="29"/>
      <c r="D22" s="21" t="str">
        <f t="shared" si="6"/>
        <v/>
      </c>
      <c r="E22" s="88" t="str">
        <f t="shared" si="0"/>
        <v/>
      </c>
      <c r="F22" s="91">
        <v>669</v>
      </c>
      <c r="G22" s="29"/>
      <c r="H22" s="21" t="str">
        <f t="shared" si="7"/>
        <v/>
      </c>
      <c r="I22" s="88" t="str">
        <f t="shared" si="1"/>
        <v/>
      </c>
      <c r="J22" s="91">
        <v>234</v>
      </c>
      <c r="K22" s="29"/>
      <c r="L22" s="21" t="str">
        <f t="shared" si="8"/>
        <v/>
      </c>
      <c r="M22" s="52" t="str">
        <f t="shared" si="2"/>
        <v/>
      </c>
      <c r="N22" s="34">
        <f t="shared" si="3"/>
        <v>2622</v>
      </c>
      <c r="O22" s="32" t="str">
        <f t="shared" si="4"/>
        <v/>
      </c>
      <c r="P22" s="21" t="str">
        <f t="shared" si="9"/>
        <v/>
      </c>
      <c r="Q22" s="52" t="str">
        <f t="shared" si="5"/>
        <v/>
      </c>
    </row>
    <row r="23" spans="1:21" ht="11.25" customHeight="1" thickBot="1" x14ac:dyDescent="0.25">
      <c r="A23" s="39" t="s">
        <v>3</v>
      </c>
      <c r="B23" s="36">
        <f>IF(C17="",B24,B25)</f>
        <v>20647</v>
      </c>
      <c r="C23" s="37">
        <f>IF(C11="","",SUM(C11:C22))</f>
        <v>20748</v>
      </c>
      <c r="D23" s="38">
        <f>IF(C11="","",SUM(D11:D22))</f>
        <v>101</v>
      </c>
      <c r="E23" s="53">
        <f t="shared" si="0"/>
        <v>4.8917518283527871E-3</v>
      </c>
      <c r="F23" s="36">
        <f>IF(G17="",F24,F25)</f>
        <v>6193</v>
      </c>
      <c r="G23" s="37">
        <f>IF(G11="","",SUM(G11:G22))</f>
        <v>7073</v>
      </c>
      <c r="H23" s="38">
        <f>IF(G11="","",SUM(H11:H22))</f>
        <v>880</v>
      </c>
      <c r="I23" s="53">
        <f t="shared" si="1"/>
        <v>0.14209591474245115</v>
      </c>
      <c r="J23" s="36">
        <f>IF(K17="",J24,J25)</f>
        <v>2322</v>
      </c>
      <c r="K23" s="37">
        <f>IF(K11="","",SUM(K11:K22))</f>
        <v>2314</v>
      </c>
      <c r="L23" s="38">
        <f>IF(K11="","",SUM(L11:L22))</f>
        <v>-8</v>
      </c>
      <c r="M23" s="53">
        <f t="shared" si="2"/>
        <v>-3.4453057708871662E-3</v>
      </c>
      <c r="N23" s="36">
        <f>IF(O17="",N24,N25)</f>
        <v>29162</v>
      </c>
      <c r="O23" s="37">
        <f>IF(O11="","",SUM(O11:O22))</f>
        <v>30135</v>
      </c>
      <c r="P23" s="38">
        <f>IF(O11="","",SUM(P11:P22))</f>
        <v>973</v>
      </c>
      <c r="Q23" s="53">
        <f t="shared" si="5"/>
        <v>3.3365338454152661E-2</v>
      </c>
    </row>
    <row r="24" spans="1:21" ht="11.25" customHeight="1" x14ac:dyDescent="0.2">
      <c r="A24" s="102" t="s">
        <v>28</v>
      </c>
      <c r="B24" s="103">
        <f>IF(C16&lt;&gt;"",SUM(B11:B16),IF(C15&lt;&gt;"",SUM(B11:B15),IF(C14&lt;&gt;"",SUM(B11:B14),IF(C13&lt;&gt;"",SUM(B11:B13),IF(C12&lt;&gt;"",SUM(B11:B12),B11)))))</f>
        <v>14044</v>
      </c>
      <c r="C24" s="103">
        <f>COUNTIF(C11:C22,"&gt;0")</f>
        <v>9</v>
      </c>
      <c r="D24" s="103"/>
      <c r="E24" s="104"/>
      <c r="F24" s="103">
        <f>IF(G16&lt;&gt;"",SUM(F11:F16),IF(G15&lt;&gt;"",SUM(F11:F15),IF(G14&lt;&gt;"",SUM(F11:F14),IF(G13&lt;&gt;"",SUM(F11:F13),IF(G12&lt;&gt;"",SUM(F11:F12),F11)))))</f>
        <v>4268</v>
      </c>
      <c r="G24" s="103">
        <f>COUNTIF(G11:G22,"&gt;0")</f>
        <v>9</v>
      </c>
      <c r="H24" s="103"/>
      <c r="I24" s="104"/>
      <c r="J24" s="103">
        <f>IF(K16&lt;&gt;"",SUM(J11:J16),IF(K15&lt;&gt;"",SUM(J11:J15),IF(K14&lt;&gt;"",SUM(J11:J14),IF(K13&lt;&gt;"",SUM(J11:J13),IF(K12&lt;&gt;"",SUM(J11:J12),J11)))))</f>
        <v>1583</v>
      </c>
      <c r="K24" s="103">
        <f>COUNTIF(K11:K22,"&gt;0")</f>
        <v>9</v>
      </c>
      <c r="L24" s="103"/>
      <c r="M24" s="104"/>
      <c r="N24" s="103">
        <f>IF(O16&lt;&gt;"",SUM(N11:N16),IF(O15&lt;&gt;"",SUM(N11:N15),IF(O14&lt;&gt;"",SUM(N11:N14),IF(O13&lt;&gt;"",SUM(N11:N13),IF(O12&lt;&gt;"",SUM(N11:N12),N11)))))</f>
        <v>19895</v>
      </c>
      <c r="O24" s="103">
        <f>COUNTIF(O11:O22,"&gt;0")</f>
        <v>9</v>
      </c>
      <c r="P24" s="103"/>
      <c r="Q24" s="104"/>
      <c r="R24" s="105"/>
      <c r="S24" s="105"/>
    </row>
    <row r="25" spans="1:21" ht="11.25" customHeight="1" x14ac:dyDescent="0.2">
      <c r="B25" s="76">
        <f>IF(C22&lt;&gt;"",SUM(B11:B22),IF(C21&lt;&gt;"",SUM(B11:B21),IF(C20&lt;&gt;"",SUM(B11:B20),IF(C19&lt;&gt;"",SUM(B11:B19),IF(C18&lt;&gt;"",SUM(B11:B18),SUM(B11:B17))))))</f>
        <v>20647</v>
      </c>
      <c r="F25" s="76">
        <f>IF(G22&lt;&gt;"",SUM(F11:F22),IF(G21&lt;&gt;"",SUM(F11:F21),IF(G20&lt;&gt;"",SUM(F11:F20),IF(G19&lt;&gt;"",SUM(F11:F19),IF(G18&lt;&gt;"",SUM(F11:F18),SUM(F11:F17))))))</f>
        <v>6193</v>
      </c>
      <c r="J25" s="76">
        <f>IF(K22&lt;&gt;"",SUM(J11:J22),IF(K21&lt;&gt;"",SUM(J11:J21),IF(K20&lt;&gt;"",SUM(J11:J20),IF(K19&lt;&gt;"",SUM(J11:J19),IF(K18&lt;&gt;"",SUM(J11:J18),SUM(J11:J17))))))</f>
        <v>2322</v>
      </c>
      <c r="N25" s="76">
        <f>IF(O22&lt;&gt;"",SUM(N11:N22),IF(O21&lt;&gt;"",SUM(N11:N21),IF(O20&lt;&gt;"",SUM(N11:N20),IF(O19&lt;&gt;"",SUM(N11:N19),IF(O18&lt;&gt;"",SUM(N11:N18),SUM(N11:N17))))))</f>
        <v>29162</v>
      </c>
    </row>
    <row r="26" spans="1:21" ht="11.25" customHeight="1" x14ac:dyDescent="0.2">
      <c r="A26" s="7"/>
      <c r="B26" s="117" t="s">
        <v>22</v>
      </c>
      <c r="C26" s="118"/>
      <c r="D26" s="118"/>
      <c r="E26" s="118"/>
      <c r="F26" s="9"/>
    </row>
    <row r="27" spans="1:21" ht="11.25" customHeight="1" thickBot="1" x14ac:dyDescent="0.25">
      <c r="B27" s="119"/>
      <c r="C27" s="119"/>
      <c r="D27" s="119"/>
      <c r="E27" s="119"/>
    </row>
    <row r="28" spans="1:21" ht="11.25" customHeight="1" thickBot="1" x14ac:dyDescent="0.25">
      <c r="A28" s="8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  <c r="T29" s="49"/>
    </row>
    <row r="30" spans="1:21" ht="11.25" customHeight="1" thickBot="1" x14ac:dyDescent="0.25">
      <c r="A30" s="74" t="s">
        <v>24</v>
      </c>
      <c r="B30" s="11">
        <f>T43</f>
        <v>190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4" t="s">
        <v>23</v>
      </c>
      <c r="S30" s="135"/>
      <c r="T30" s="50"/>
    </row>
    <row r="31" spans="1:21" ht="11.25" customHeight="1" x14ac:dyDescent="0.2">
      <c r="A31" s="20" t="s">
        <v>6</v>
      </c>
      <c r="B31" s="65">
        <f t="shared" ref="B31:B42" si="10">IF(C11="","",B11/$R31)</f>
        <v>81</v>
      </c>
      <c r="C31" s="68">
        <f t="shared" ref="C31:C42" si="11">IF(C11="","",C11/$S31)</f>
        <v>65.86363636363636</v>
      </c>
      <c r="D31" s="64">
        <f>IF(OR(C31="",B31=0),"",C31-B31)</f>
        <v>-15.13636363636364</v>
      </c>
      <c r="E31" s="60">
        <f>IF(D31="","",(C31-B31)/ABS(B31))</f>
        <v>-0.18686868686868691</v>
      </c>
      <c r="F31" s="65">
        <f t="shared" ref="F31:F42" si="12">IF(G11="","",F11/$R31)</f>
        <v>31.3</v>
      </c>
      <c r="G31" s="68">
        <f t="shared" ref="G31:G42" si="13">IF(G11="","",G11/$S31)</f>
        <v>31.545454545454547</v>
      </c>
      <c r="H31" s="80">
        <f>IF(OR(G31="",F31=0),"",G31-F31)</f>
        <v>0.24545454545454604</v>
      </c>
      <c r="I31" s="60">
        <f>IF(H31="","",(G31-F31)/ABS(F31))</f>
        <v>7.8419982573337387E-3</v>
      </c>
      <c r="J31" s="65">
        <f t="shared" ref="J31:J42" si="14">IF(K11="","",J11/$R31)</f>
        <v>10.8</v>
      </c>
      <c r="K31" s="68">
        <f t="shared" ref="K31:K42" si="15">IF(K11="","",K11/$S31)</f>
        <v>9.7727272727272734</v>
      </c>
      <c r="L31" s="80">
        <f>IF(OR(K31="",J31=0),"",K31-J31)</f>
        <v>-1.0272727272727273</v>
      </c>
      <c r="M31" s="60">
        <f>IF(L31="","",(K31-J31)/ABS(J31))</f>
        <v>-9.5117845117845115E-2</v>
      </c>
      <c r="N31" s="65">
        <f t="shared" ref="N31:N42" si="16">IF(O11="","",N11/$R31)</f>
        <v>123.1</v>
      </c>
      <c r="O31" s="68">
        <f t="shared" ref="O31:O42" si="17">IF(O11="","",O11/$S31)</f>
        <v>107.18181818181819</v>
      </c>
      <c r="P31" s="80">
        <f>IF(OR(O31="",N31=0),"",O31-N31)</f>
        <v>-15.918181818181807</v>
      </c>
      <c r="Q31" s="58">
        <f>IF(P31="","",(O31-N31)/ABS(N31))</f>
        <v>-0.12931098146370273</v>
      </c>
      <c r="R31" s="56">
        <v>20</v>
      </c>
      <c r="S31" s="56">
        <v>22</v>
      </c>
      <c r="T31" s="77">
        <f>IF(OR(N31="",N31=0),"",R31)</f>
        <v>20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si="10"/>
        <v>103.61904761904762</v>
      </c>
      <c r="C32" s="68">
        <f t="shared" si="11"/>
        <v>91.05</v>
      </c>
      <c r="D32" s="64">
        <f t="shared" ref="D32:D42" si="18">IF(OR(C32="",B32=0),"",C32-B32)</f>
        <v>-12.569047619047623</v>
      </c>
      <c r="E32" s="60">
        <f t="shared" ref="E32:E42" si="19">IF(D32="","",(C32-B32)/ABS(B32))</f>
        <v>-0.12130055147058827</v>
      </c>
      <c r="F32" s="65">
        <f t="shared" si="12"/>
        <v>38.19047619047619</v>
      </c>
      <c r="G32" s="68">
        <f t="shared" si="13"/>
        <v>37.049999999999997</v>
      </c>
      <c r="H32" s="80">
        <f t="shared" ref="H32:H42" si="20">IF(OR(G32="",F32=0),"",G32-F32)</f>
        <v>-1.1404761904761926</v>
      </c>
      <c r="I32" s="60">
        <f t="shared" ref="I32:I42" si="21">IF(H32="","",(G32-F32)/ABS(F32))</f>
        <v>-2.9862842892768138E-2</v>
      </c>
      <c r="J32" s="65">
        <f t="shared" si="14"/>
        <v>11.761904761904763</v>
      </c>
      <c r="K32" s="68">
        <f t="shared" si="15"/>
        <v>12.6</v>
      </c>
      <c r="L32" s="80">
        <f t="shared" ref="L32:L42" si="22">IF(OR(K32="",J32=0),"",K32-J32)</f>
        <v>0.83809523809523689</v>
      </c>
      <c r="M32" s="60">
        <f t="shared" ref="M32:M42" si="23">IF(L32="","",(K32-J32)/ABS(J32))</f>
        <v>7.1255060728744837E-2</v>
      </c>
      <c r="N32" s="65">
        <f t="shared" si="16"/>
        <v>153.57142857142858</v>
      </c>
      <c r="O32" s="68">
        <f t="shared" si="17"/>
        <v>140.69999999999999</v>
      </c>
      <c r="P32" s="80">
        <f t="shared" ref="P32:P42" si="24">IF(OR(O32="",N32=0),"",O32-N32)</f>
        <v>-12.871428571428595</v>
      </c>
      <c r="Q32" s="58">
        <f t="shared" ref="Q32:Q42" si="25">IF(P32="","",(O32-N32)/ABS(N32))</f>
        <v>-8.3813953488372242E-2</v>
      </c>
      <c r="R32" s="56">
        <v>21</v>
      </c>
      <c r="S32" s="56">
        <v>20</v>
      </c>
      <c r="T32" s="77">
        <f t="shared" ref="T32:T42" si="26">IF(OR(N32="",N32=0),"",R32)</f>
        <v>21</v>
      </c>
      <c r="U32" s="77">
        <f t="shared" ref="U32:U42" si="27">IF(OR(O32="",O32=0),"",S32)</f>
        <v>20</v>
      </c>
    </row>
    <row r="33" spans="1:21" ht="11.25" customHeight="1" x14ac:dyDescent="0.2">
      <c r="A33" s="41" t="s">
        <v>8</v>
      </c>
      <c r="B33" s="66">
        <f t="shared" si="10"/>
        <v>114.23809523809524</v>
      </c>
      <c r="C33" s="69">
        <f t="shared" si="11"/>
        <v>109.34782608695652</v>
      </c>
      <c r="D33" s="71">
        <f t="shared" si="18"/>
        <v>-4.8902691511387246</v>
      </c>
      <c r="E33" s="61">
        <f t="shared" si="19"/>
        <v>-4.280769161063494E-2</v>
      </c>
      <c r="F33" s="66">
        <f t="shared" si="12"/>
        <v>32.476190476190474</v>
      </c>
      <c r="G33" s="69">
        <f t="shared" si="13"/>
        <v>35.913043478260867</v>
      </c>
      <c r="H33" s="81">
        <f t="shared" si="20"/>
        <v>3.4368530020703929</v>
      </c>
      <c r="I33" s="61">
        <f t="shared" si="21"/>
        <v>0.10582685196990946</v>
      </c>
      <c r="J33" s="66">
        <f t="shared" si="14"/>
        <v>15.238095238095237</v>
      </c>
      <c r="K33" s="69">
        <f t="shared" si="15"/>
        <v>12.086956521739131</v>
      </c>
      <c r="L33" s="81">
        <f t="shared" si="22"/>
        <v>-3.1511387163561064</v>
      </c>
      <c r="M33" s="61">
        <f t="shared" si="23"/>
        <v>-0.2067934782608695</v>
      </c>
      <c r="N33" s="66">
        <f t="shared" si="16"/>
        <v>161.95238095238096</v>
      </c>
      <c r="O33" s="69">
        <f t="shared" si="17"/>
        <v>157.34782608695653</v>
      </c>
      <c r="P33" s="81">
        <f t="shared" si="24"/>
        <v>-4.6045548654244328</v>
      </c>
      <c r="Q33" s="59">
        <f t="shared" si="25"/>
        <v>-2.8431535481891528E-2</v>
      </c>
      <c r="R33" s="85">
        <v>21</v>
      </c>
      <c r="S33" s="85">
        <v>23</v>
      </c>
      <c r="T33" s="77">
        <f t="shared" si="26"/>
        <v>21</v>
      </c>
      <c r="U33" s="77">
        <f t="shared" si="27"/>
        <v>23</v>
      </c>
    </row>
    <row r="34" spans="1:21" ht="11.25" customHeight="1" x14ac:dyDescent="0.2">
      <c r="A34" s="20" t="s">
        <v>9</v>
      </c>
      <c r="B34" s="65">
        <f t="shared" si="10"/>
        <v>125.38095238095238</v>
      </c>
      <c r="C34" s="68">
        <f t="shared" si="11"/>
        <v>127</v>
      </c>
      <c r="D34" s="64">
        <f t="shared" si="18"/>
        <v>1.6190476190476204</v>
      </c>
      <c r="E34" s="60">
        <f t="shared" si="19"/>
        <v>1.2913026965438675E-2</v>
      </c>
      <c r="F34" s="65">
        <f t="shared" si="12"/>
        <v>36.047619047619051</v>
      </c>
      <c r="G34" s="68">
        <f t="shared" si="13"/>
        <v>39.333333333333336</v>
      </c>
      <c r="H34" s="80">
        <f t="shared" si="20"/>
        <v>3.2857142857142847</v>
      </c>
      <c r="I34" s="60">
        <f t="shared" si="21"/>
        <v>9.1149273447820311E-2</v>
      </c>
      <c r="J34" s="65">
        <f t="shared" si="14"/>
        <v>13.666666666666666</v>
      </c>
      <c r="K34" s="68">
        <f t="shared" si="15"/>
        <v>13.555555555555555</v>
      </c>
      <c r="L34" s="80">
        <f t="shared" si="22"/>
        <v>-0.11111111111111072</v>
      </c>
      <c r="M34" s="60">
        <f t="shared" si="23"/>
        <v>-8.1300813008129795E-3</v>
      </c>
      <c r="N34" s="65">
        <f t="shared" si="16"/>
        <v>175.0952380952381</v>
      </c>
      <c r="O34" s="68">
        <f t="shared" si="17"/>
        <v>179.88888888888889</v>
      </c>
      <c r="P34" s="80">
        <f t="shared" si="24"/>
        <v>4.7936507936507837</v>
      </c>
      <c r="Q34" s="58">
        <f t="shared" si="25"/>
        <v>2.7377390989030855E-2</v>
      </c>
      <c r="R34" s="56">
        <v>21</v>
      </c>
      <c r="S34" s="56">
        <v>18</v>
      </c>
      <c r="T34" s="77">
        <f t="shared" si="26"/>
        <v>21</v>
      </c>
      <c r="U34" s="77">
        <f t="shared" si="27"/>
        <v>18</v>
      </c>
    </row>
    <row r="35" spans="1:21" ht="11.25" customHeight="1" x14ac:dyDescent="0.2">
      <c r="A35" s="20" t="s">
        <v>10</v>
      </c>
      <c r="B35" s="65">
        <f t="shared" si="10"/>
        <v>124.35</v>
      </c>
      <c r="C35" s="68">
        <f t="shared" si="11"/>
        <v>123.57142857142857</v>
      </c>
      <c r="D35" s="64">
        <f t="shared" si="18"/>
        <v>-0.77857142857142492</v>
      </c>
      <c r="E35" s="60">
        <f t="shared" si="19"/>
        <v>-6.2611293009362679E-3</v>
      </c>
      <c r="F35" s="65">
        <f t="shared" si="12"/>
        <v>31.25</v>
      </c>
      <c r="G35" s="68">
        <f t="shared" si="13"/>
        <v>42.047619047619051</v>
      </c>
      <c r="H35" s="80">
        <f t="shared" si="20"/>
        <v>10.797619047619051</v>
      </c>
      <c r="I35" s="60">
        <f t="shared" si="21"/>
        <v>0.34552380952380962</v>
      </c>
      <c r="J35" s="65">
        <f t="shared" si="14"/>
        <v>12.3</v>
      </c>
      <c r="K35" s="68">
        <f t="shared" si="15"/>
        <v>12.238095238095237</v>
      </c>
      <c r="L35" s="80">
        <f t="shared" si="22"/>
        <v>-6.1904761904763461E-2</v>
      </c>
      <c r="M35" s="60">
        <f t="shared" si="23"/>
        <v>-5.0329074719319888E-3</v>
      </c>
      <c r="N35" s="65">
        <f t="shared" si="16"/>
        <v>167.9</v>
      </c>
      <c r="O35" s="68">
        <f t="shared" si="17"/>
        <v>177.85714285714286</v>
      </c>
      <c r="P35" s="80">
        <f t="shared" si="24"/>
        <v>9.9571428571428555</v>
      </c>
      <c r="Q35" s="58">
        <f t="shared" si="25"/>
        <v>5.9304007487450003E-2</v>
      </c>
      <c r="R35" s="56">
        <v>20</v>
      </c>
      <c r="S35" s="56">
        <v>21</v>
      </c>
      <c r="T35" s="77">
        <f t="shared" si="26"/>
        <v>20</v>
      </c>
      <c r="U35" s="77">
        <f t="shared" si="27"/>
        <v>21</v>
      </c>
    </row>
    <row r="36" spans="1:21" ht="11.25" customHeight="1" x14ac:dyDescent="0.2">
      <c r="A36" s="41" t="s">
        <v>11</v>
      </c>
      <c r="B36" s="66">
        <f t="shared" si="10"/>
        <v>124.04545454545455</v>
      </c>
      <c r="C36" s="69">
        <f t="shared" si="11"/>
        <v>117.81818181818181</v>
      </c>
      <c r="D36" s="71">
        <f t="shared" si="18"/>
        <v>-6.2272727272727337</v>
      </c>
      <c r="E36" s="61">
        <f t="shared" si="19"/>
        <v>-5.0201539025284035E-2</v>
      </c>
      <c r="F36" s="66">
        <f t="shared" si="12"/>
        <v>35.272727272727273</v>
      </c>
      <c r="G36" s="69">
        <f t="shared" si="13"/>
        <v>46.045454545454547</v>
      </c>
      <c r="H36" s="81">
        <f t="shared" si="20"/>
        <v>10.772727272727273</v>
      </c>
      <c r="I36" s="61">
        <f t="shared" si="21"/>
        <v>0.30541237113402064</v>
      </c>
      <c r="J36" s="66">
        <f t="shared" si="14"/>
        <v>12.136363636363637</v>
      </c>
      <c r="K36" s="69">
        <f t="shared" si="15"/>
        <v>11.909090909090908</v>
      </c>
      <c r="L36" s="81">
        <f t="shared" si="22"/>
        <v>-0.2272727272727284</v>
      </c>
      <c r="M36" s="61">
        <f t="shared" si="23"/>
        <v>-1.872659176029972E-2</v>
      </c>
      <c r="N36" s="66">
        <f t="shared" si="16"/>
        <v>171.45454545454547</v>
      </c>
      <c r="O36" s="69">
        <f t="shared" si="17"/>
        <v>175.77272727272728</v>
      </c>
      <c r="P36" s="81">
        <f t="shared" si="24"/>
        <v>4.318181818181813</v>
      </c>
      <c r="Q36" s="59">
        <f t="shared" si="25"/>
        <v>2.5185577942735918E-2</v>
      </c>
      <c r="R36" s="85">
        <v>22</v>
      </c>
      <c r="S36" s="85">
        <v>22</v>
      </c>
      <c r="T36" s="77">
        <f t="shared" si="26"/>
        <v>22</v>
      </c>
      <c r="U36" s="77">
        <f t="shared" si="27"/>
        <v>22</v>
      </c>
    </row>
    <row r="37" spans="1:21" ht="11.25" customHeight="1" x14ac:dyDescent="0.2">
      <c r="A37" s="20" t="s">
        <v>12</v>
      </c>
      <c r="B37" s="65">
        <f t="shared" si="10"/>
        <v>102.28571428571429</v>
      </c>
      <c r="C37" s="68">
        <f t="shared" si="11"/>
        <v>114.28571428571429</v>
      </c>
      <c r="D37" s="64">
        <f t="shared" si="18"/>
        <v>12</v>
      </c>
      <c r="E37" s="60">
        <f t="shared" si="19"/>
        <v>0.11731843575418993</v>
      </c>
      <c r="F37" s="65">
        <f t="shared" si="12"/>
        <v>28.333333333333332</v>
      </c>
      <c r="G37" s="68">
        <f t="shared" si="13"/>
        <v>35.333333333333336</v>
      </c>
      <c r="H37" s="80">
        <f t="shared" si="20"/>
        <v>7.0000000000000036</v>
      </c>
      <c r="I37" s="60">
        <f t="shared" si="21"/>
        <v>0.24705882352941191</v>
      </c>
      <c r="J37" s="65">
        <f t="shared" si="14"/>
        <v>11.80952380952381</v>
      </c>
      <c r="K37" s="68">
        <f t="shared" si="15"/>
        <v>12.523809523809524</v>
      </c>
      <c r="L37" s="80">
        <f t="shared" si="22"/>
        <v>0.71428571428571352</v>
      </c>
      <c r="M37" s="60">
        <f t="shared" si="23"/>
        <v>6.0483870967741868E-2</v>
      </c>
      <c r="N37" s="65">
        <f t="shared" si="16"/>
        <v>142.42857142857142</v>
      </c>
      <c r="O37" s="68">
        <f t="shared" si="17"/>
        <v>162.14285714285714</v>
      </c>
      <c r="P37" s="80">
        <f t="shared" si="24"/>
        <v>19.714285714285722</v>
      </c>
      <c r="Q37" s="58">
        <f t="shared" si="25"/>
        <v>0.1384152457372117</v>
      </c>
      <c r="R37" s="56">
        <v>21</v>
      </c>
      <c r="S37" s="56">
        <v>21</v>
      </c>
      <c r="T37" s="77">
        <f t="shared" si="26"/>
        <v>21</v>
      </c>
      <c r="U37" s="77">
        <f t="shared" si="27"/>
        <v>21</v>
      </c>
    </row>
    <row r="38" spans="1:21" ht="11.25" customHeight="1" x14ac:dyDescent="0.2">
      <c r="A38" s="20" t="s">
        <v>13</v>
      </c>
      <c r="B38" s="65">
        <f t="shared" si="10"/>
        <v>92.090909090909093</v>
      </c>
      <c r="C38" s="68">
        <f t="shared" si="11"/>
        <v>98.454545454545453</v>
      </c>
      <c r="D38" s="64">
        <f t="shared" si="18"/>
        <v>6.3636363636363598</v>
      </c>
      <c r="E38" s="60">
        <f t="shared" si="19"/>
        <v>6.9101678183612986E-2</v>
      </c>
      <c r="F38" s="65">
        <f t="shared" si="12"/>
        <v>24.272727272727273</v>
      </c>
      <c r="G38" s="68">
        <f t="shared" si="13"/>
        <v>27.272727272727273</v>
      </c>
      <c r="H38" s="80">
        <f t="shared" si="20"/>
        <v>3</v>
      </c>
      <c r="I38" s="60">
        <f t="shared" si="21"/>
        <v>0.12359550561797752</v>
      </c>
      <c r="J38" s="65">
        <f t="shared" si="14"/>
        <v>10.409090909090908</v>
      </c>
      <c r="K38" s="68">
        <f t="shared" si="15"/>
        <v>11.181818181818182</v>
      </c>
      <c r="L38" s="80">
        <f t="shared" si="22"/>
        <v>0.77272727272727337</v>
      </c>
      <c r="M38" s="60">
        <f t="shared" si="23"/>
        <v>7.4235807860262071E-2</v>
      </c>
      <c r="N38" s="65">
        <f t="shared" si="16"/>
        <v>126.77272727272727</v>
      </c>
      <c r="O38" s="68">
        <f t="shared" si="17"/>
        <v>136.90909090909091</v>
      </c>
      <c r="P38" s="80">
        <f t="shared" si="24"/>
        <v>10.13636363636364</v>
      </c>
      <c r="Q38" s="58">
        <f t="shared" si="25"/>
        <v>7.9956973825744029E-2</v>
      </c>
      <c r="R38" s="56">
        <v>22</v>
      </c>
      <c r="S38" s="56">
        <v>22</v>
      </c>
      <c r="T38" s="77">
        <f t="shared" si="26"/>
        <v>22</v>
      </c>
      <c r="U38" s="77">
        <f t="shared" si="27"/>
        <v>22</v>
      </c>
    </row>
    <row r="39" spans="1:21" ht="11.25" customHeight="1" x14ac:dyDescent="0.2">
      <c r="A39" s="41" t="s">
        <v>14</v>
      </c>
      <c r="B39" s="66">
        <f t="shared" si="10"/>
        <v>110.40909090909091</v>
      </c>
      <c r="C39" s="69">
        <f t="shared" si="11"/>
        <v>139.23809523809524</v>
      </c>
      <c r="D39" s="71">
        <f t="shared" si="18"/>
        <v>28.829004329004334</v>
      </c>
      <c r="E39" s="61">
        <f t="shared" si="19"/>
        <v>0.26111078437138552</v>
      </c>
      <c r="F39" s="66">
        <f t="shared" si="12"/>
        <v>36.18181818181818</v>
      </c>
      <c r="G39" s="69">
        <f t="shared" si="13"/>
        <v>41.238095238095241</v>
      </c>
      <c r="H39" s="81">
        <f t="shared" si="20"/>
        <v>5.0562770562770609</v>
      </c>
      <c r="I39" s="61">
        <f t="shared" si="21"/>
        <v>0.13974635080162731</v>
      </c>
      <c r="J39" s="66">
        <f t="shared" si="14"/>
        <v>11.909090909090908</v>
      </c>
      <c r="K39" s="69">
        <f t="shared" si="15"/>
        <v>14.142857142857142</v>
      </c>
      <c r="L39" s="81">
        <f t="shared" si="22"/>
        <v>2.2337662337662341</v>
      </c>
      <c r="M39" s="61">
        <f t="shared" si="23"/>
        <v>0.18756815703380592</v>
      </c>
      <c r="N39" s="66">
        <f t="shared" si="16"/>
        <v>158.5</v>
      </c>
      <c r="O39" s="69">
        <f t="shared" si="17"/>
        <v>194.61904761904762</v>
      </c>
      <c r="P39" s="81">
        <f t="shared" si="24"/>
        <v>36.11904761904762</v>
      </c>
      <c r="Q39" s="59">
        <f t="shared" si="25"/>
        <v>0.22788042661859698</v>
      </c>
      <c r="R39" s="85">
        <v>22</v>
      </c>
      <c r="S39" s="85">
        <v>21</v>
      </c>
      <c r="T39" s="77">
        <f t="shared" si="26"/>
        <v>22</v>
      </c>
      <c r="U39" s="77">
        <f t="shared" si="27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6">
        <v>21</v>
      </c>
      <c r="S40" s="56">
        <v>22</v>
      </c>
      <c r="T40" s="77" t="str">
        <f t="shared" si="26"/>
        <v/>
      </c>
      <c r="U40" s="77" t="str">
        <f t="shared" si="27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6">
        <v>22</v>
      </c>
      <c r="S41" s="56">
        <v>22</v>
      </c>
      <c r="T41" s="77" t="str">
        <f t="shared" si="26"/>
        <v/>
      </c>
      <c r="U41" s="77" t="str">
        <f t="shared" si="27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8"/>
        <v/>
      </c>
      <c r="E42" s="60" t="str">
        <f t="shared" si="19"/>
        <v/>
      </c>
      <c r="F42" s="65" t="str">
        <f t="shared" si="12"/>
        <v/>
      </c>
      <c r="G42" s="68" t="str">
        <f t="shared" si="13"/>
        <v/>
      </c>
      <c r="H42" s="80" t="str">
        <f t="shared" si="20"/>
        <v/>
      </c>
      <c r="I42" s="60" t="str">
        <f t="shared" si="21"/>
        <v/>
      </c>
      <c r="J42" s="65" t="str">
        <f t="shared" si="14"/>
        <v/>
      </c>
      <c r="K42" s="68" t="str">
        <f t="shared" si="15"/>
        <v/>
      </c>
      <c r="L42" s="80" t="str">
        <f t="shared" si="22"/>
        <v/>
      </c>
      <c r="M42" s="60" t="str">
        <f t="shared" si="23"/>
        <v/>
      </c>
      <c r="N42" s="65" t="str">
        <f t="shared" si="16"/>
        <v/>
      </c>
      <c r="O42" s="68" t="str">
        <f t="shared" si="17"/>
        <v/>
      </c>
      <c r="P42" s="80" t="str">
        <f t="shared" si="24"/>
        <v/>
      </c>
      <c r="Q42" s="58" t="str">
        <f t="shared" si="25"/>
        <v/>
      </c>
      <c r="R42" s="56">
        <v>21</v>
      </c>
      <c r="S42" s="56">
        <v>19</v>
      </c>
      <c r="T42" s="77" t="str">
        <f t="shared" si="26"/>
        <v/>
      </c>
      <c r="U42" s="77" t="str">
        <f t="shared" si="27"/>
        <v/>
      </c>
    </row>
    <row r="43" spans="1:21" ht="11.25" customHeight="1" thickBot="1" x14ac:dyDescent="0.25">
      <c r="A43" s="40" t="s">
        <v>29</v>
      </c>
      <c r="B43" s="67">
        <f>IF(B23=0,"",SUM(B31:B42)/B44)</f>
        <v>108.60214045214046</v>
      </c>
      <c r="C43" s="70">
        <f>IF(OR(C23=0,C23=""),"",SUM(C31:C42)/C44)</f>
        <v>109.62549197983984</v>
      </c>
      <c r="D43" s="62">
        <f>IF(B23=0,"",AVERAGE(D31:D42))</f>
        <v>1.0233515276993519</v>
      </c>
      <c r="E43" s="54">
        <f>IF(B23=0,"",AVERAGE(E31:E42))</f>
        <v>5.8893696664996326E-3</v>
      </c>
      <c r="F43" s="67">
        <f>IF(F23=0,"",SUM(F31:F42)/F44)</f>
        <v>32.591654641654642</v>
      </c>
      <c r="G43" s="70">
        <f>IF(OR(G23=0,G23=""),"",SUM(G31:G42)/G44)</f>
        <v>37.308784532697572</v>
      </c>
      <c r="H43" s="62">
        <f>IF(F23=0,"",AVERAGE(H31:H42))</f>
        <v>4.7171298910429353</v>
      </c>
      <c r="I43" s="54">
        <f>IF(F23=0,"",AVERAGE(I31:I42))</f>
        <v>0.14847690459879359</v>
      </c>
      <c r="J43" s="67">
        <f>IF(J23=0,"",SUM(J31:J42)/J44)</f>
        <v>12.225637325637326</v>
      </c>
      <c r="K43" s="70">
        <f>IF(OR(K23=0,K23=""),"",SUM(K31:K42)/K44)</f>
        <v>12.223434482854772</v>
      </c>
      <c r="L43" s="62">
        <f>IF(J23=0,"",AVERAGE(L31:L42))</f>
        <v>-2.2028427825531655E-3</v>
      </c>
      <c r="M43" s="54">
        <f>IF(J23=0,"",AVERAGE(M31:M42))</f>
        <v>6.637999186532826E-3</v>
      </c>
      <c r="N43" s="67">
        <f>IF(N23=0,"",SUM(N31:N42)/N44)</f>
        <v>153.41943241943241</v>
      </c>
      <c r="O43" s="70">
        <f>IF(OR(O23=0,O23=""),"",SUM(O31:O42)/O44)</f>
        <v>159.15771099539219</v>
      </c>
      <c r="P43" s="62">
        <f>IF(N23=0,"",AVERAGE(P31:P42))</f>
        <v>5.7382785759597335</v>
      </c>
      <c r="Q43" s="54">
        <f>IF(N23=0,"",AVERAGE(Q31:Q42))</f>
        <v>3.5173683574089218E-2</v>
      </c>
      <c r="R43" s="57">
        <f>SUM(R31:R42)</f>
        <v>254</v>
      </c>
      <c r="S43" s="86">
        <f>SUM(S31:S42)</f>
        <v>253</v>
      </c>
      <c r="T43" s="77">
        <f>SUM(T31:T42)</f>
        <v>190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09">
        <f>COUNTIF(B31:B42,"&gt;0")</f>
        <v>9</v>
      </c>
      <c r="C44" s="109">
        <f>COUNTIF(C31:C42,"&gt;0")</f>
        <v>9</v>
      </c>
      <c r="D44" s="110"/>
      <c r="E44" s="111"/>
      <c r="F44" s="109">
        <f>COUNTIF(F31:F42,"&gt;0")</f>
        <v>9</v>
      </c>
      <c r="G44" s="109">
        <f>COUNTIF(G31:G42,"&gt;0")</f>
        <v>9</v>
      </c>
      <c r="H44" s="110"/>
      <c r="I44" s="111"/>
      <c r="J44" s="109">
        <f>COUNTIF(J31:J42,"&gt;0")</f>
        <v>9</v>
      </c>
      <c r="K44" s="109">
        <f>COUNTIF(K31:K42,"&gt;0")</f>
        <v>9</v>
      </c>
      <c r="L44" s="110"/>
      <c r="M44" s="111"/>
      <c r="N44" s="109">
        <f>COUNTIF(N31:N42,"&gt;0")</f>
        <v>9</v>
      </c>
      <c r="O44" s="109">
        <f>COUNTIF(O31:O42,"&gt;0")</f>
        <v>9</v>
      </c>
      <c r="P44" s="110"/>
      <c r="Q44" s="111"/>
      <c r="R44" s="112"/>
      <c r="S44" s="112"/>
    </row>
    <row r="45" spans="1:21" ht="11.25" customHeight="1" x14ac:dyDescent="0.2">
      <c r="A45"/>
      <c r="B45"/>
      <c r="C45"/>
      <c r="D45"/>
      <c r="E45"/>
      <c r="F45"/>
      <c r="G45" s="63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TqTfF4q5KAxT3HrcR2ibiADgoi+GF8eLYPAnJ1zaJVFevpFlQGXLCCy2UpBgk2RHWG8q98aG1yJtpNB0mATt9Q==" saltValue="yx5ZwKfopvSRSNzy9/lVIg==" spinCount="100000" sheet="1" objects="1" scenarios="1" selectLockedCells="1" selectUnlockedCells="1"/>
  <mergeCells count="22">
    <mergeCell ref="R30:S30"/>
    <mergeCell ref="B8:E8"/>
    <mergeCell ref="D29:E29"/>
    <mergeCell ref="H29:I29"/>
    <mergeCell ref="L29:M29"/>
    <mergeCell ref="P29:Q29"/>
    <mergeCell ref="N8:Q8"/>
    <mergeCell ref="F28:I28"/>
    <mergeCell ref="B28:E28"/>
    <mergeCell ref="B26:E27"/>
    <mergeCell ref="J8:M8"/>
    <mergeCell ref="J28:M28"/>
    <mergeCell ref="N28:Q28"/>
    <mergeCell ref="P9:Q9"/>
    <mergeCell ref="H9:I9"/>
    <mergeCell ref="L9:M9"/>
    <mergeCell ref="B6:E7"/>
    <mergeCell ref="D9:E9"/>
    <mergeCell ref="F8:I8"/>
    <mergeCell ref="B2:E2"/>
    <mergeCell ref="B3:C3"/>
    <mergeCell ref="D3:E3"/>
  </mergeCells>
  <phoneticPr fontId="0" type="noConversion"/>
  <conditionalFormatting sqref="N13:N22">
    <cfRule type="expression" dxfId="84" priority="5" stopIfTrue="1">
      <formula>O13=""</formula>
    </cfRule>
  </conditionalFormatting>
  <conditionalFormatting sqref="N12">
    <cfRule type="expression" dxfId="83" priority="6" stopIfTrue="1">
      <formula>O12=""</formula>
    </cfRule>
  </conditionalFormatting>
  <conditionalFormatting sqref="S31:S43">
    <cfRule type="expression" dxfId="82" priority="7" stopIfTrue="1">
      <formula>S31&lt;$R31</formula>
    </cfRule>
    <cfRule type="expression" dxfId="81" priority="8" stopIfTrue="1">
      <formula>S31&gt;$R31</formula>
    </cfRule>
  </conditionalFormatting>
  <conditionalFormatting sqref="R31:R42">
    <cfRule type="expression" dxfId="80" priority="1" stopIfTrue="1">
      <formula>R31&lt;$R31</formula>
    </cfRule>
    <cfRule type="expression" dxfId="79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0"/>
  <sheetViews>
    <sheetView showGridLines="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95" t="s">
        <v>27</v>
      </c>
      <c r="B2" s="125" t="s">
        <v>34</v>
      </c>
      <c r="C2" s="125"/>
      <c r="D2" s="125"/>
      <c r="E2" s="125"/>
      <c r="Q2" s="79"/>
    </row>
    <row r="3" spans="1:17" ht="13.5" customHeight="1" x14ac:dyDescent="0.2">
      <c r="A3" s="1"/>
      <c r="B3" s="126" t="s">
        <v>20</v>
      </c>
      <c r="C3" s="126"/>
      <c r="D3" s="148" t="s">
        <v>25</v>
      </c>
      <c r="E3" s="148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</row>
    <row r="6" spans="1:17" ht="11.25" customHeight="1" x14ac:dyDescent="0.2">
      <c r="A6" s="7"/>
      <c r="B6" s="117" t="s">
        <v>30</v>
      </c>
      <c r="C6" s="118"/>
      <c r="D6" s="118"/>
      <c r="E6" s="118"/>
      <c r="F6" s="9"/>
    </row>
    <row r="7" spans="1:17" ht="11.25" customHeight="1" thickBot="1" x14ac:dyDescent="0.25">
      <c r="B7" s="119"/>
      <c r="C7" s="119"/>
      <c r="D7" s="119"/>
      <c r="E7" s="119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f>'BON-NS'!B9</f>
        <v>2016</v>
      </c>
      <c r="C9" s="46">
        <f>'BON-NS'!C9</f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96">
        <f>SUM('BON-SN'!B11,'BSL-SN'!B11,'BWA-SN'!B11,'RFA-SN'!B11)</f>
        <v>24353</v>
      </c>
      <c r="C11" s="42">
        <f>IF('BON-SN'!C11="","",SUM('BON-SN'!C11,'BSL-SN'!C11,'BWA-SN'!C11,'RFA-SN'!C11))</f>
        <v>25421</v>
      </c>
      <c r="D11" s="21">
        <f t="shared" ref="D11:D22" si="0">IF(C11="","",C11-B11)</f>
        <v>1068</v>
      </c>
      <c r="E11" s="58">
        <f t="shared" ref="E11:E23" si="1">IF(D11="","",D11/B11)</f>
        <v>4.3854966533897262E-2</v>
      </c>
      <c r="F11" s="33">
        <f>SUM('BON-SN'!F11,'BSL-SN'!F11,'BWA-SN'!F11,'RFA-SN'!F11)</f>
        <v>27931</v>
      </c>
      <c r="G11" s="42">
        <f>IF('BON-SN'!G11="","",SUM('BON-SN'!G11,'BSL-SN'!G11,'BWA-SN'!G11,'RFA-SN'!G11))</f>
        <v>28212</v>
      </c>
      <c r="H11" s="21">
        <f t="shared" ref="H11:H22" si="2">IF(G11="","",G11-F11)</f>
        <v>281</v>
      </c>
      <c r="I11" s="58">
        <f t="shared" ref="I11:I23" si="3">IF(H11="","",H11/F11)</f>
        <v>1.0060506247538577E-2</v>
      </c>
      <c r="J11" s="33">
        <f>SUM('BON-SN'!J11,'BSL-SN'!J11,'BWA-SN'!J11,'RFA-SN'!J11)</f>
        <v>28934</v>
      </c>
      <c r="K11" s="42">
        <f>IF('BON-SN'!K11="","",SUM('BON-SN'!K11,'BSL-SN'!K11,'BWA-SN'!K11,'RFA-SN'!K11))</f>
        <v>29835</v>
      </c>
      <c r="L11" s="21">
        <f t="shared" ref="L11:L22" si="4">IF(K11="","",K11-J11)</f>
        <v>901</v>
      </c>
      <c r="M11" s="58">
        <f t="shared" ref="M11:M23" si="5">IF(L11="","",L11/J11)</f>
        <v>3.1139835487661575E-2</v>
      </c>
      <c r="N11" s="33">
        <f>SUM(B11,F11,J11)</f>
        <v>81218</v>
      </c>
      <c r="O11" s="30">
        <f t="shared" ref="O11:O22" si="6">IF(C11="","",SUM(C11,G11,K11))</f>
        <v>83468</v>
      </c>
      <c r="P11" s="21">
        <f t="shared" ref="P11:P22" si="7">IF(O11="","",O11-N11)</f>
        <v>2250</v>
      </c>
      <c r="Q11" s="58">
        <f t="shared" ref="Q11:Q23" si="8">IF(P11="","",P11/N11)</f>
        <v>2.7703218498362433E-2</v>
      </c>
    </row>
    <row r="12" spans="1:17" ht="11.25" customHeight="1" x14ac:dyDescent="0.2">
      <c r="A12" s="20" t="s">
        <v>7</v>
      </c>
      <c r="B12" s="96">
        <f>SUM('BON-SN'!B12,'BSL-SN'!B12,'BWA-SN'!B12,'RFA-SN'!B12)</f>
        <v>26465</v>
      </c>
      <c r="C12" s="42">
        <f>IF('BON-SN'!C12="","",SUM('BON-SN'!C12,'BSL-SN'!C12,'BWA-SN'!C12,'RFA-SN'!C12))</f>
        <v>25858</v>
      </c>
      <c r="D12" s="21">
        <f t="shared" si="0"/>
        <v>-607</v>
      </c>
      <c r="E12" s="58">
        <f t="shared" si="1"/>
        <v>-2.2935953145664083E-2</v>
      </c>
      <c r="F12" s="33">
        <f>SUM('BON-SN'!F12,'BSL-SN'!F12,'BWA-SN'!F12,'RFA-SN'!F12)</f>
        <v>31024</v>
      </c>
      <c r="G12" s="42">
        <f>IF('BON-SN'!G12="","",SUM('BON-SN'!G12,'BSL-SN'!G12,'BWA-SN'!G12,'RFA-SN'!G12))</f>
        <v>29530</v>
      </c>
      <c r="H12" s="21">
        <f t="shared" si="2"/>
        <v>-1494</v>
      </c>
      <c r="I12" s="58">
        <f t="shared" si="3"/>
        <v>-4.8156266116554929E-2</v>
      </c>
      <c r="J12" s="33">
        <f>SUM('BON-SN'!J12,'BSL-SN'!J12,'BWA-SN'!J12,'RFA-SN'!J12)</f>
        <v>35764</v>
      </c>
      <c r="K12" s="42">
        <f>IF('BON-SN'!K12="","",SUM('BON-SN'!K12,'BSL-SN'!K12,'BWA-SN'!K12,'RFA-SN'!K12))</f>
        <v>33755</v>
      </c>
      <c r="L12" s="21">
        <f t="shared" si="4"/>
        <v>-2009</v>
      </c>
      <c r="M12" s="58">
        <f t="shared" si="5"/>
        <v>-5.6173806061961748E-2</v>
      </c>
      <c r="N12" s="33">
        <f t="shared" ref="N12:N22" si="9">SUM(B12,F12,J12)</f>
        <v>93253</v>
      </c>
      <c r="O12" s="30">
        <f t="shared" si="6"/>
        <v>89143</v>
      </c>
      <c r="P12" s="21">
        <f t="shared" si="7"/>
        <v>-4110</v>
      </c>
      <c r="Q12" s="58">
        <f t="shared" si="8"/>
        <v>-4.4073649105122625E-2</v>
      </c>
    </row>
    <row r="13" spans="1:17" ht="11.25" customHeight="1" x14ac:dyDescent="0.2">
      <c r="A13" s="20" t="s">
        <v>8</v>
      </c>
      <c r="B13" s="97">
        <f>SUM('BON-SN'!B13,'BSL-SN'!B13,'BWA-SN'!B13,'RFA-SN'!B13)</f>
        <v>28753</v>
      </c>
      <c r="C13" s="43">
        <f>IF('BON-SN'!C13="","",SUM('BON-SN'!C13,'BSL-SN'!C13,'BWA-SN'!C13,'RFA-SN'!C13))</f>
        <v>31071</v>
      </c>
      <c r="D13" s="22">
        <f t="shared" si="0"/>
        <v>2318</v>
      </c>
      <c r="E13" s="59">
        <f t="shared" si="1"/>
        <v>8.0617674677424964E-2</v>
      </c>
      <c r="F13" s="35">
        <f>SUM('BON-SN'!F13,'BSL-SN'!F13,'BWA-SN'!F13,'RFA-SN'!F13)</f>
        <v>33180</v>
      </c>
      <c r="G13" s="43">
        <f>IF('BON-SN'!G13="","",SUM('BON-SN'!G13,'BSL-SN'!G13,'BWA-SN'!G13,'RFA-SN'!G13))</f>
        <v>34230</v>
      </c>
      <c r="H13" s="22">
        <f t="shared" si="2"/>
        <v>1050</v>
      </c>
      <c r="I13" s="59">
        <f t="shared" si="3"/>
        <v>3.1645569620253167E-2</v>
      </c>
      <c r="J13" s="35">
        <f>SUM('BON-SN'!J13,'BSL-SN'!J13,'BWA-SN'!J13,'RFA-SN'!J13)</f>
        <v>37090</v>
      </c>
      <c r="K13" s="43">
        <f>IF('BON-SN'!K13="","",SUM('BON-SN'!K13,'BSL-SN'!K13,'BWA-SN'!K13,'RFA-SN'!K13))</f>
        <v>40509</v>
      </c>
      <c r="L13" s="22">
        <f t="shared" si="4"/>
        <v>3419</v>
      </c>
      <c r="M13" s="59">
        <f t="shared" si="5"/>
        <v>9.2181180911296845E-2</v>
      </c>
      <c r="N13" s="35">
        <f t="shared" si="9"/>
        <v>99023</v>
      </c>
      <c r="O13" s="31">
        <f t="shared" si="6"/>
        <v>105810</v>
      </c>
      <c r="P13" s="22">
        <f t="shared" si="7"/>
        <v>6787</v>
      </c>
      <c r="Q13" s="59">
        <f t="shared" si="8"/>
        <v>6.8539632206659054E-2</v>
      </c>
    </row>
    <row r="14" spans="1:17" ht="11.25" customHeight="1" x14ac:dyDescent="0.2">
      <c r="A14" s="20" t="s">
        <v>9</v>
      </c>
      <c r="B14" s="96">
        <f>SUM('BON-SN'!B14,'BSL-SN'!B14,'BWA-SN'!B14,'RFA-SN'!B14)</f>
        <v>28135</v>
      </c>
      <c r="C14" s="42">
        <f>IF('BON-SN'!C14="","",SUM('BON-SN'!C14,'BSL-SN'!C14,'BWA-SN'!C14,'RFA-SN'!C14))</f>
        <v>25209</v>
      </c>
      <c r="D14" s="21">
        <f t="shared" si="0"/>
        <v>-2926</v>
      </c>
      <c r="E14" s="58">
        <f t="shared" si="1"/>
        <v>-0.10399857828327706</v>
      </c>
      <c r="F14" s="33">
        <f>SUM('BON-SN'!F14,'BSL-SN'!F14,'BWA-SN'!F14,'RFA-SN'!F14)</f>
        <v>32500</v>
      </c>
      <c r="G14" s="42">
        <f>IF('BON-SN'!G14="","",SUM('BON-SN'!G14,'BSL-SN'!G14,'BWA-SN'!G14,'RFA-SN'!G14))</f>
        <v>28736</v>
      </c>
      <c r="H14" s="21">
        <f t="shared" si="2"/>
        <v>-3764</v>
      </c>
      <c r="I14" s="58">
        <f t="shared" si="3"/>
        <v>-0.11581538461538461</v>
      </c>
      <c r="J14" s="33">
        <f>SUM('BON-SN'!J14,'BSL-SN'!J14,'BWA-SN'!J14,'RFA-SN'!J14)</f>
        <v>37393</v>
      </c>
      <c r="K14" s="42">
        <f>IF('BON-SN'!K14="","",SUM('BON-SN'!K14,'BSL-SN'!K14,'BWA-SN'!K14,'RFA-SN'!K14))</f>
        <v>31971</v>
      </c>
      <c r="L14" s="21">
        <f t="shared" si="4"/>
        <v>-5422</v>
      </c>
      <c r="M14" s="58">
        <f t="shared" si="5"/>
        <v>-0.14500040114459925</v>
      </c>
      <c r="N14" s="33">
        <f t="shared" si="9"/>
        <v>98028</v>
      </c>
      <c r="O14" s="30">
        <f t="shared" si="6"/>
        <v>85916</v>
      </c>
      <c r="P14" s="21">
        <f t="shared" si="7"/>
        <v>-12112</v>
      </c>
      <c r="Q14" s="58">
        <f t="shared" si="8"/>
        <v>-0.12355653486758886</v>
      </c>
    </row>
    <row r="15" spans="1:17" ht="11.25" customHeight="1" x14ac:dyDescent="0.2">
      <c r="A15" s="20" t="s">
        <v>10</v>
      </c>
      <c r="B15" s="96">
        <f>SUM('BON-SN'!B15,'BSL-SN'!B15,'BWA-SN'!B15,'RFA-SN'!B15)</f>
        <v>25968</v>
      </c>
      <c r="C15" s="42">
        <f>IF('BON-SN'!C15="","",SUM('BON-SN'!C15,'BSL-SN'!C15,'BWA-SN'!C15,'RFA-SN'!C15))</f>
        <v>28454</v>
      </c>
      <c r="D15" s="21">
        <f t="shared" si="0"/>
        <v>2486</v>
      </c>
      <c r="E15" s="58">
        <f t="shared" si="1"/>
        <v>9.5733210104744296E-2</v>
      </c>
      <c r="F15" s="33">
        <f>SUM('BON-SN'!F15,'BSL-SN'!F15,'BWA-SN'!F15,'RFA-SN'!F15)</f>
        <v>29766</v>
      </c>
      <c r="G15" s="42">
        <f>IF('BON-SN'!G15="","",SUM('BON-SN'!G15,'BSL-SN'!G15,'BWA-SN'!G15,'RFA-SN'!G15))</f>
        <v>30949</v>
      </c>
      <c r="H15" s="21">
        <f t="shared" si="2"/>
        <v>1183</v>
      </c>
      <c r="I15" s="58">
        <f t="shared" si="3"/>
        <v>3.9743331317610694E-2</v>
      </c>
      <c r="J15" s="33">
        <f>SUM('BON-SN'!J15,'BSL-SN'!J15,'BWA-SN'!J15,'RFA-SN'!J15)</f>
        <v>33564</v>
      </c>
      <c r="K15" s="42">
        <f>IF('BON-SN'!K15="","",SUM('BON-SN'!K15,'BSL-SN'!K15,'BWA-SN'!K15,'RFA-SN'!K15))</f>
        <v>37703</v>
      </c>
      <c r="L15" s="21">
        <f t="shared" si="4"/>
        <v>4139</v>
      </c>
      <c r="M15" s="58">
        <f t="shared" si="5"/>
        <v>0.12331664879037063</v>
      </c>
      <c r="N15" s="33">
        <f t="shared" si="9"/>
        <v>89298</v>
      </c>
      <c r="O15" s="30">
        <f t="shared" si="6"/>
        <v>97106</v>
      </c>
      <c r="P15" s="21">
        <f t="shared" si="7"/>
        <v>7808</v>
      </c>
      <c r="Q15" s="58">
        <f t="shared" si="8"/>
        <v>8.743756859056194E-2</v>
      </c>
    </row>
    <row r="16" spans="1:17" ht="11.25" customHeight="1" x14ac:dyDescent="0.2">
      <c r="A16" s="20" t="s">
        <v>11</v>
      </c>
      <c r="B16" s="97">
        <f>SUM('BON-SN'!B16,'BSL-SN'!B16,'BWA-SN'!B16,'RFA-SN'!B16)</f>
        <v>28594</v>
      </c>
      <c r="C16" s="43">
        <f>IF('BON-SN'!C16="","",SUM('BON-SN'!C16,'BSL-SN'!C16,'BWA-SN'!C16,'RFA-SN'!C16))</f>
        <v>27031</v>
      </c>
      <c r="D16" s="22">
        <f t="shared" si="0"/>
        <v>-1563</v>
      </c>
      <c r="E16" s="59">
        <f t="shared" si="1"/>
        <v>-5.4661817164440095E-2</v>
      </c>
      <c r="F16" s="35">
        <f>SUM('BON-SN'!F16,'BSL-SN'!F16,'BWA-SN'!F16,'RFA-SN'!F16)</f>
        <v>31540</v>
      </c>
      <c r="G16" s="43">
        <f>IF('BON-SN'!G16="","",SUM('BON-SN'!G16,'BSL-SN'!G16,'BWA-SN'!G16,'RFA-SN'!G16))</f>
        <v>31522</v>
      </c>
      <c r="H16" s="22">
        <f t="shared" si="2"/>
        <v>-18</v>
      </c>
      <c r="I16" s="59">
        <f t="shared" si="3"/>
        <v>-5.7070386810399493E-4</v>
      </c>
      <c r="J16" s="35">
        <f>SUM('BON-SN'!J16,'BSL-SN'!J16,'BWA-SN'!J16,'RFA-SN'!J16)</f>
        <v>38231</v>
      </c>
      <c r="K16" s="43">
        <f>IF('BON-SN'!K16="","",SUM('BON-SN'!K16,'BSL-SN'!K16,'BWA-SN'!K16,'RFA-SN'!K16))</f>
        <v>35746</v>
      </c>
      <c r="L16" s="22">
        <f t="shared" si="4"/>
        <v>-2485</v>
      </c>
      <c r="M16" s="59">
        <f t="shared" si="5"/>
        <v>-6.4999607648243571E-2</v>
      </c>
      <c r="N16" s="35">
        <f t="shared" si="9"/>
        <v>98365</v>
      </c>
      <c r="O16" s="31">
        <f t="shared" si="6"/>
        <v>94299</v>
      </c>
      <c r="P16" s="22">
        <f t="shared" si="7"/>
        <v>-4066</v>
      </c>
      <c r="Q16" s="59">
        <f t="shared" si="8"/>
        <v>-4.1335841000355818E-2</v>
      </c>
    </row>
    <row r="17" spans="1:21" ht="11.25" customHeight="1" x14ac:dyDescent="0.2">
      <c r="A17" s="20" t="s">
        <v>12</v>
      </c>
      <c r="B17" s="96">
        <f>SUM('BON-SN'!B17,'BSL-SN'!B17,'BWA-SN'!B17,'RFA-SN'!B17)</f>
        <v>26423</v>
      </c>
      <c r="C17" s="42">
        <f>IF('BON-SN'!C17="","",SUM('BON-SN'!C17,'BSL-SN'!C17,'BWA-SN'!C17,'RFA-SN'!C17))</f>
        <v>26867</v>
      </c>
      <c r="D17" s="21">
        <f t="shared" si="0"/>
        <v>444</v>
      </c>
      <c r="E17" s="58">
        <f t="shared" si="1"/>
        <v>1.6803542368391173E-2</v>
      </c>
      <c r="F17" s="33">
        <f>SUM('BON-SN'!F17,'BSL-SN'!F17,'BWA-SN'!F17,'RFA-SN'!F17)</f>
        <v>30952</v>
      </c>
      <c r="G17" s="42">
        <f>IF('BON-SN'!G17="","",SUM('BON-SN'!G17,'BSL-SN'!G17,'BWA-SN'!G17,'RFA-SN'!G17))</f>
        <v>30071</v>
      </c>
      <c r="H17" s="21">
        <f t="shared" si="2"/>
        <v>-881</v>
      </c>
      <c r="I17" s="58">
        <f t="shared" si="3"/>
        <v>-2.8463427242181441E-2</v>
      </c>
      <c r="J17" s="33">
        <f>SUM('BON-SN'!J17,'BSL-SN'!J17,'BWA-SN'!J17,'RFA-SN'!J17)</f>
        <v>32383</v>
      </c>
      <c r="K17" s="42">
        <f>IF('BON-SN'!K17="","",SUM('BON-SN'!K17,'BSL-SN'!K17,'BWA-SN'!K17,'RFA-SN'!K17))</f>
        <v>35650</v>
      </c>
      <c r="L17" s="21">
        <f t="shared" si="4"/>
        <v>3267</v>
      </c>
      <c r="M17" s="58">
        <f t="shared" si="5"/>
        <v>0.10088626748602662</v>
      </c>
      <c r="N17" s="33">
        <f t="shared" si="9"/>
        <v>89758</v>
      </c>
      <c r="O17" s="30">
        <f t="shared" si="6"/>
        <v>92588</v>
      </c>
      <c r="P17" s="21">
        <f t="shared" si="7"/>
        <v>2830</v>
      </c>
      <c r="Q17" s="58">
        <f t="shared" si="8"/>
        <v>3.1529223021903342E-2</v>
      </c>
    </row>
    <row r="18" spans="1:21" ht="11.25" customHeight="1" x14ac:dyDescent="0.2">
      <c r="A18" s="20" t="s">
        <v>13</v>
      </c>
      <c r="B18" s="96">
        <f>SUM('BON-SN'!B18,'BSL-SN'!B18,'BWA-SN'!B18,'RFA-SN'!B18)</f>
        <v>24815</v>
      </c>
      <c r="C18" s="42">
        <f>IF('BON-SN'!C18="","",SUM('BON-SN'!C18,'BSL-SN'!C18,'BWA-SN'!C18,'RFA-SN'!C18))</f>
        <v>25598</v>
      </c>
      <c r="D18" s="21">
        <f t="shared" si="0"/>
        <v>783</v>
      </c>
      <c r="E18" s="58">
        <f t="shared" si="1"/>
        <v>3.1553495869433811E-2</v>
      </c>
      <c r="F18" s="33">
        <f>SUM('BON-SN'!F18,'BSL-SN'!F18,'BWA-SN'!F18,'RFA-SN'!F18)</f>
        <v>24069</v>
      </c>
      <c r="G18" s="42">
        <f>IF('BON-SN'!G18="","",SUM('BON-SN'!G18,'BSL-SN'!G18,'BWA-SN'!G18,'RFA-SN'!G18))</f>
        <v>22225</v>
      </c>
      <c r="H18" s="21">
        <f t="shared" si="2"/>
        <v>-1844</v>
      </c>
      <c r="I18" s="58">
        <f t="shared" si="3"/>
        <v>-7.6613070754912957E-2</v>
      </c>
      <c r="J18" s="33">
        <f>SUM('BON-SN'!J18,'BSL-SN'!J18,'BWA-SN'!J18,'RFA-SN'!J18)</f>
        <v>32891</v>
      </c>
      <c r="K18" s="42">
        <f>IF('BON-SN'!K18="","",SUM('BON-SN'!K18,'BSL-SN'!K18,'BWA-SN'!K18,'RFA-SN'!K18))</f>
        <v>35404</v>
      </c>
      <c r="L18" s="21">
        <f t="shared" si="4"/>
        <v>2513</v>
      </c>
      <c r="M18" s="58">
        <f t="shared" si="5"/>
        <v>7.6403879480709008E-2</v>
      </c>
      <c r="N18" s="33">
        <f t="shared" si="9"/>
        <v>81775</v>
      </c>
      <c r="O18" s="30">
        <f t="shared" si="6"/>
        <v>83227</v>
      </c>
      <c r="P18" s="21">
        <f t="shared" si="7"/>
        <v>1452</v>
      </c>
      <c r="Q18" s="58">
        <f t="shared" si="8"/>
        <v>1.7756037908896363E-2</v>
      </c>
    </row>
    <row r="19" spans="1:21" ht="11.25" customHeight="1" x14ac:dyDescent="0.2">
      <c r="A19" s="20" t="s">
        <v>14</v>
      </c>
      <c r="B19" s="97">
        <f>SUM('BON-SN'!B19,'BSL-SN'!B19,'BWA-SN'!B19,'RFA-SN'!B19)</f>
        <v>28374</v>
      </c>
      <c r="C19" s="43">
        <f>IF('BON-SN'!C19="","",SUM('BON-SN'!C19,'BSL-SN'!C19,'BWA-SN'!C19,'RFA-SN'!C19))</f>
        <v>28296</v>
      </c>
      <c r="D19" s="22">
        <f t="shared" si="0"/>
        <v>-78</v>
      </c>
      <c r="E19" s="59">
        <f t="shared" si="1"/>
        <v>-2.7489955593148659E-3</v>
      </c>
      <c r="F19" s="35">
        <f>SUM('BON-SN'!F19,'BSL-SN'!F19,'BWA-SN'!F19,'RFA-SN'!F19)</f>
        <v>30975</v>
      </c>
      <c r="G19" s="43">
        <f>IF('BON-SN'!G19="","",SUM('BON-SN'!G19,'BSL-SN'!G19,'BWA-SN'!G19,'RFA-SN'!G19))</f>
        <v>34466</v>
      </c>
      <c r="H19" s="22">
        <f t="shared" si="2"/>
        <v>3491</v>
      </c>
      <c r="I19" s="59">
        <f t="shared" si="3"/>
        <v>0.11270379338175948</v>
      </c>
      <c r="J19" s="35">
        <f>SUM('BON-SN'!J19,'BSL-SN'!J19,'BWA-SN'!J19,'RFA-SN'!J19)</f>
        <v>36493</v>
      </c>
      <c r="K19" s="43">
        <f>IF('BON-SN'!K19="","",SUM('BON-SN'!K19,'BSL-SN'!K19,'BWA-SN'!K19,'RFA-SN'!K19))</f>
        <v>36791</v>
      </c>
      <c r="L19" s="22">
        <f t="shared" si="4"/>
        <v>298</v>
      </c>
      <c r="M19" s="59">
        <f t="shared" si="5"/>
        <v>8.1659496341764167E-3</v>
      </c>
      <c r="N19" s="35">
        <f t="shared" si="9"/>
        <v>95842</v>
      </c>
      <c r="O19" s="31">
        <f t="shared" si="6"/>
        <v>99553</v>
      </c>
      <c r="P19" s="22">
        <f t="shared" si="7"/>
        <v>3711</v>
      </c>
      <c r="Q19" s="59">
        <f t="shared" si="8"/>
        <v>3.8719976628200578E-2</v>
      </c>
    </row>
    <row r="20" spans="1:21" ht="11.25" customHeight="1" x14ac:dyDescent="0.2">
      <c r="A20" s="20" t="s">
        <v>15</v>
      </c>
      <c r="B20" s="96">
        <f>SUM('BON-SN'!B20,'BSL-SN'!B20,'BWA-SN'!B20,'RFA-SN'!B20)</f>
        <v>26815</v>
      </c>
      <c r="C20" s="42" t="str">
        <f>IF('BON-SN'!C20="","",SUM('BON-SN'!C20,'BSL-SN'!C20,'BWA-SN'!C20,'RFA-SN'!C20))</f>
        <v/>
      </c>
      <c r="D20" s="21" t="str">
        <f t="shared" si="0"/>
        <v/>
      </c>
      <c r="E20" s="58" t="str">
        <f t="shared" si="1"/>
        <v/>
      </c>
      <c r="F20" s="33">
        <f>SUM('BON-SN'!F20,'BSL-SN'!F20,'BWA-SN'!F20,'RFA-SN'!F20)</f>
        <v>30317</v>
      </c>
      <c r="G20" s="42" t="str">
        <f>IF('BON-SN'!G20="","",SUM('BON-SN'!G20,'BSL-SN'!G20,'BWA-SN'!G20,'RFA-SN'!G20))</f>
        <v/>
      </c>
      <c r="H20" s="21" t="str">
        <f t="shared" si="2"/>
        <v/>
      </c>
      <c r="I20" s="58" t="str">
        <f t="shared" si="3"/>
        <v/>
      </c>
      <c r="J20" s="33">
        <f>SUM('BON-SN'!J20,'BSL-SN'!J20,'BWA-SN'!J20,'RFA-SN'!J20)</f>
        <v>35045</v>
      </c>
      <c r="K20" s="42" t="str">
        <f>IF('BON-SN'!K20="","",SUM('BON-SN'!K20,'BSL-SN'!K20,'BWA-SN'!K20,'RFA-SN'!K20))</f>
        <v/>
      </c>
      <c r="L20" s="21" t="str">
        <f t="shared" si="4"/>
        <v/>
      </c>
      <c r="M20" s="58" t="str">
        <f t="shared" si="5"/>
        <v/>
      </c>
      <c r="N20" s="33">
        <f t="shared" si="9"/>
        <v>92177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96">
        <f>SUM('BON-SN'!B21,'BSL-SN'!B21,'BWA-SN'!B21,'RFA-SN'!B21)</f>
        <v>28856</v>
      </c>
      <c r="C21" s="42" t="str">
        <f>IF('BON-SN'!C21="","",SUM('BON-SN'!C21,'BSL-SN'!C21,'BWA-SN'!C21,'RFA-SN'!C21))</f>
        <v/>
      </c>
      <c r="D21" s="21" t="str">
        <f t="shared" si="0"/>
        <v/>
      </c>
      <c r="E21" s="58" t="str">
        <f t="shared" si="1"/>
        <v/>
      </c>
      <c r="F21" s="33">
        <f>SUM('BON-SN'!F21,'BSL-SN'!F21,'BWA-SN'!F21,'RFA-SN'!F21)</f>
        <v>31364</v>
      </c>
      <c r="G21" s="42" t="str">
        <f>IF('BON-SN'!G21="","",SUM('BON-SN'!G21,'BSL-SN'!G21,'BWA-SN'!G21,'RFA-SN'!G21))</f>
        <v/>
      </c>
      <c r="H21" s="21" t="str">
        <f t="shared" si="2"/>
        <v/>
      </c>
      <c r="I21" s="58" t="str">
        <f t="shared" si="3"/>
        <v/>
      </c>
      <c r="J21" s="33">
        <f>SUM('BON-SN'!J21,'BSL-SN'!J21,'BWA-SN'!J21,'RFA-SN'!J21)</f>
        <v>35280</v>
      </c>
      <c r="K21" s="42" t="str">
        <f>IF('BON-SN'!K21="","",SUM('BON-SN'!K21,'BSL-SN'!K21,'BWA-SN'!K21,'RFA-SN'!K21))</f>
        <v/>
      </c>
      <c r="L21" s="21" t="str">
        <f t="shared" si="4"/>
        <v/>
      </c>
      <c r="M21" s="58" t="str">
        <f t="shared" si="5"/>
        <v/>
      </c>
      <c r="N21" s="33">
        <f t="shared" si="9"/>
        <v>95500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98">
        <f>SUM('BON-SN'!B22,'BSL-SN'!B22,'BWA-SN'!B22,'RFA-SN'!B22)</f>
        <v>22676</v>
      </c>
      <c r="C22" s="44" t="str">
        <f>IF('BON-SN'!C22="","",SUM('BON-SN'!C22,'BSL-SN'!C22,'BWA-SN'!C22,'RFA-SN'!C22))</f>
        <v/>
      </c>
      <c r="D22" s="21" t="str">
        <f t="shared" si="0"/>
        <v/>
      </c>
      <c r="E22" s="52" t="str">
        <f t="shared" si="1"/>
        <v/>
      </c>
      <c r="F22" s="34">
        <f>SUM('BON-SN'!F22,'BSL-SN'!F22,'BWA-SN'!F22,'RFA-SN'!F22)</f>
        <v>26720</v>
      </c>
      <c r="G22" s="44" t="str">
        <f>IF('BON-SN'!G22="","",SUM('BON-SN'!G22,'BSL-SN'!G22,'BWA-SN'!G22,'RFA-SN'!G22))</f>
        <v/>
      </c>
      <c r="H22" s="21" t="str">
        <f t="shared" si="2"/>
        <v/>
      </c>
      <c r="I22" s="52" t="str">
        <f t="shared" si="3"/>
        <v/>
      </c>
      <c r="J22" s="34">
        <f>SUM('BON-SN'!J22,'BSL-SN'!J22,'BWA-SN'!J22,'RFA-SN'!J22)</f>
        <v>30074</v>
      </c>
      <c r="K22" s="44" t="str">
        <f>IF('BON-SN'!K22="","",SUM('BON-SN'!K22,'BSL-SN'!K22,'BWA-SN'!K22,'RFA-SN'!K22))</f>
        <v/>
      </c>
      <c r="L22" s="21" t="str">
        <f t="shared" si="4"/>
        <v/>
      </c>
      <c r="M22" s="52" t="str">
        <f t="shared" si="5"/>
        <v/>
      </c>
      <c r="N22" s="34">
        <f t="shared" si="9"/>
        <v>79470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 x14ac:dyDescent="0.25">
      <c r="A23" s="39" t="s">
        <v>3</v>
      </c>
      <c r="B23" s="36">
        <f>IF(C24&lt;7,B24,B25)</f>
        <v>241880</v>
      </c>
      <c r="C23" s="37">
        <f>IF(C11="","",SUM(C11:C22))</f>
        <v>243805</v>
      </c>
      <c r="D23" s="38">
        <f>IF(D11="","",SUM(D11:D22))</f>
        <v>1925</v>
      </c>
      <c r="E23" s="53">
        <f t="shared" si="1"/>
        <v>7.9584918141227048E-3</v>
      </c>
      <c r="F23" s="36">
        <f>IF(G24&lt;7,F24,F25)</f>
        <v>271937</v>
      </c>
      <c r="G23" s="37">
        <f>IF(G11="","",SUM(G11:G22))</f>
        <v>269941</v>
      </c>
      <c r="H23" s="38">
        <f>IF(H11="","",SUM(H11:H22))</f>
        <v>-1996</v>
      </c>
      <c r="I23" s="53">
        <f t="shared" si="3"/>
        <v>-7.3399353526735975E-3</v>
      </c>
      <c r="J23" s="36">
        <f>IF(K24&lt;7,J24,J25)</f>
        <v>312743</v>
      </c>
      <c r="K23" s="37">
        <f>IF(K11="","",SUM(K11:K22))</f>
        <v>317364</v>
      </c>
      <c r="L23" s="38">
        <f>IF(L11="","",SUM(L11:L22))</f>
        <v>4621</v>
      </c>
      <c r="M23" s="53">
        <f t="shared" si="5"/>
        <v>1.4775710407587061E-2</v>
      </c>
      <c r="N23" s="36">
        <f>IF(O24&lt;7,N24,N25)</f>
        <v>826560</v>
      </c>
      <c r="O23" s="37">
        <f>IF(O11="","",SUM(O11:O22))</f>
        <v>831110</v>
      </c>
      <c r="P23" s="38">
        <f>IF(P11="","",SUM(P11:P22))</f>
        <v>4550</v>
      </c>
      <c r="Q23" s="53">
        <f t="shared" si="8"/>
        <v>5.5047425474254738E-3</v>
      </c>
    </row>
    <row r="24" spans="1:21" ht="11.25" customHeight="1" x14ac:dyDescent="0.2">
      <c r="A24" s="102" t="s">
        <v>28</v>
      </c>
      <c r="B24" s="103" t="str">
        <f>IF(C24=1,B11,IF(C24=2,SUM(B11:B12),IF(C24=3,SUM(B11:B13),IF(C24=4,SUM(B11:B14),IF(C24=5,SUM(B11:B15),IF(C24=6,SUM(B11:B16),""))))))</f>
        <v/>
      </c>
      <c r="C24" s="103">
        <f>COUNTIF(C11:C22,"&gt;0")</f>
        <v>9</v>
      </c>
      <c r="D24" s="103"/>
      <c r="E24" s="104"/>
      <c r="F24" s="103" t="str">
        <f>IF(G24=1,F11,IF(G24=2,SUM(F11:F12),IF(G24=3,SUM(F11:F13),IF(G24=4,SUM(F11:F14),IF(G24=5,SUM(F11:F15),IF(G24=6,SUM(F11:F16),""))))))</f>
        <v/>
      </c>
      <c r="G24" s="103">
        <f>COUNTIF(G11:G22,"&gt;0")</f>
        <v>9</v>
      </c>
      <c r="H24" s="103"/>
      <c r="I24" s="104"/>
      <c r="J24" s="103" t="str">
        <f>IF(K24=1,J11,IF(K24=2,SUM(J11:J12),IF(K24=3,SUM(J11:J13),IF(K24=4,SUM(J11:J14),IF(K24=5,SUM(J11:J15),IF(K24=6,SUM(J11:J16),""))))))</f>
        <v/>
      </c>
      <c r="K24" s="103">
        <f>COUNTIF(K11:K22,"&gt;0")</f>
        <v>9</v>
      </c>
      <c r="L24" s="103"/>
      <c r="M24" s="104"/>
      <c r="N24" s="103" t="str">
        <f>IF(O24=1,N11,IF(O24=2,SUM(N11:N12),IF(O24=3,SUM(N11:N13),IF(O24=4,SUM(N11:N14),IF(O24=5,SUM(N11:N15),IF(O24=6,SUM(N11:N16),""))))))</f>
        <v/>
      </c>
      <c r="O24" s="103">
        <f>COUNTIF(O11:O22,"&gt;0")</f>
        <v>9</v>
      </c>
      <c r="P24" s="106"/>
      <c r="Q24" s="107"/>
      <c r="R24" s="105"/>
      <c r="S24" s="105"/>
    </row>
    <row r="25" spans="1:21" ht="11.25" customHeight="1" x14ac:dyDescent="0.2">
      <c r="B25" s="76">
        <f>IF(C24=7,SUM(B11:B17),IF(C24=8,SUM(B11:B18),IF(C24=9,SUM(B11:B19),IF(C24=10,SUM(B11:B20),IF(C24=11,SUM(B11:B21),SUM(B11:B22))))))</f>
        <v>241880</v>
      </c>
      <c r="F25" s="76">
        <f>IF(G24=7,SUM(F11:F17),IF(G24=8,SUM(F11:F18),IF(G24=9,SUM(F11:F19),IF(G24=10,SUM(F11:F20),IF(G24=11,SUM(F11:F21),SUM(F11:F22))))))</f>
        <v>271937</v>
      </c>
      <c r="J25" s="76">
        <f>IF(K24=7,SUM(J11:J17),IF(K24=8,SUM(J11:J18),IF(K24=9,SUM(J11:J19),IF(K24=10,SUM(J11:J20),IF(K24=11,SUM(J11:J21),SUM(J11:J22))))))</f>
        <v>312743</v>
      </c>
      <c r="N25" s="76">
        <f>IF(O24=7,SUM(N11:N17),IF(O24=8,SUM(N11:N18),IF(O24=9,SUM(N11:N19),IF(O24=10,SUM(N11:N20),IF(O24=11,SUM(N11:N21),SUM(N11:N22))))))</f>
        <v>826560</v>
      </c>
    </row>
    <row r="26" spans="1:21" ht="11.25" customHeight="1" x14ac:dyDescent="0.2">
      <c r="A26" s="7"/>
      <c r="B26" s="117" t="s">
        <v>22</v>
      </c>
      <c r="C26" s="118"/>
      <c r="D26" s="118"/>
      <c r="E26" s="118"/>
      <c r="F26" s="9"/>
    </row>
    <row r="27" spans="1:21" ht="11.25" customHeight="1" thickBot="1" x14ac:dyDescent="0.25">
      <c r="B27" s="119"/>
      <c r="C27" s="119"/>
      <c r="D27" s="119"/>
      <c r="E27" s="119"/>
    </row>
    <row r="28" spans="1:21" ht="11.25" customHeight="1" thickBot="1" x14ac:dyDescent="0.25">
      <c r="A28" s="25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</row>
    <row r="30" spans="1:21" ht="11.25" customHeight="1" thickBot="1" x14ac:dyDescent="0.25">
      <c r="A30" s="74" t="s">
        <v>24</v>
      </c>
      <c r="B30" s="11">
        <f>T43</f>
        <v>189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1" t="s">
        <v>23</v>
      </c>
      <c r="S30" s="142"/>
    </row>
    <row r="31" spans="1:21" ht="11.25" customHeight="1" x14ac:dyDescent="0.2">
      <c r="A31" s="20" t="s">
        <v>6</v>
      </c>
      <c r="B31" s="65">
        <f t="shared" ref="B31:B42" si="10">IF(C11="","",B11/$R31)</f>
        <v>1159.6666666666667</v>
      </c>
      <c r="C31" s="68">
        <f t="shared" ref="C31:C42" si="11">IF(C11="","",C11/$S31)</f>
        <v>1155.5</v>
      </c>
      <c r="D31" s="64">
        <f t="shared" ref="D31:D42" si="12">IF(C31="","",C31-B31)</f>
        <v>-4.1666666666667425</v>
      </c>
      <c r="E31" s="60">
        <f t="shared" ref="E31:E43" si="13">IF(C31="","",(C31-B31)/ABS(B31))</f>
        <v>-3.5929864903708614E-3</v>
      </c>
      <c r="F31" s="65">
        <f t="shared" ref="F31:F42" si="14">IF(G11="","",F11/$R31)</f>
        <v>1330.047619047619</v>
      </c>
      <c r="G31" s="68">
        <f t="shared" ref="G31:G42" si="15">IF(G11="","",G11/$S31)</f>
        <v>1282.3636363636363</v>
      </c>
      <c r="H31" s="80">
        <f t="shared" ref="H31:H42" si="16">IF(G31="","",G31-F31)</f>
        <v>-47.683982683982777</v>
      </c>
      <c r="I31" s="60">
        <f t="shared" ref="I31:I43" si="17">IF(G31="","",(G31-F31)/ABS(F31))</f>
        <v>-3.585133494553143E-2</v>
      </c>
      <c r="J31" s="65">
        <f t="shared" ref="J31:J42" si="18">IF(K11="","",J11/$R31)</f>
        <v>1377.8095238095239</v>
      </c>
      <c r="K31" s="68">
        <f t="shared" ref="K31:K42" si="19">IF(K11="","",K11/$S31)</f>
        <v>1356.1363636363637</v>
      </c>
      <c r="L31" s="80">
        <f t="shared" ref="L31:L42" si="20">IF(K31="","",K31-J31)</f>
        <v>-21.673160173160113</v>
      </c>
      <c r="M31" s="60">
        <f t="shared" ref="M31:M43" si="21">IF(K31="","",(K31-J31)/ABS(J31))</f>
        <v>-1.5730157034504817E-2</v>
      </c>
      <c r="N31" s="65">
        <f t="shared" ref="N31:N42" si="22">IF(O11="","",N11/$R31)</f>
        <v>3867.5238095238096</v>
      </c>
      <c r="O31" s="68">
        <f t="shared" ref="O31:O42" si="23">IF(O11="","",O11/$S31)</f>
        <v>3794</v>
      </c>
      <c r="P31" s="80">
        <f t="shared" ref="P31:P42" si="24">IF(O31="","",O31-N31)</f>
        <v>-73.523809523809632</v>
      </c>
      <c r="Q31" s="58">
        <f t="shared" ref="Q31:Q43" si="25">IF(O31="","",(O31-N31)/ABS(N31))</f>
        <v>-1.9010564160654071E-2</v>
      </c>
      <c r="R31" s="56">
        <v>21</v>
      </c>
      <c r="S31" s="56">
        <v>22</v>
      </c>
      <c r="T31" s="77">
        <f>IF(OR(N31="",N31=0),"",R31)</f>
        <v>21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si="10"/>
        <v>1323.25</v>
      </c>
      <c r="C32" s="68">
        <f t="shared" si="11"/>
        <v>1292.9000000000001</v>
      </c>
      <c r="D32" s="64">
        <f t="shared" si="12"/>
        <v>-30.349999999999909</v>
      </c>
      <c r="E32" s="60">
        <f t="shared" si="13"/>
        <v>-2.2935953145664018E-2</v>
      </c>
      <c r="F32" s="65">
        <f t="shared" si="14"/>
        <v>1551.2</v>
      </c>
      <c r="G32" s="68">
        <f t="shared" si="15"/>
        <v>1476.5</v>
      </c>
      <c r="H32" s="80">
        <f t="shared" si="16"/>
        <v>-74.700000000000045</v>
      </c>
      <c r="I32" s="60">
        <f t="shared" si="17"/>
        <v>-4.8156266116554956E-2</v>
      </c>
      <c r="J32" s="65">
        <f t="shared" si="18"/>
        <v>1788.2</v>
      </c>
      <c r="K32" s="68">
        <f t="shared" si="19"/>
        <v>1687.75</v>
      </c>
      <c r="L32" s="80">
        <f t="shared" si="20"/>
        <v>-100.45000000000005</v>
      </c>
      <c r="M32" s="60">
        <f t="shared" si="21"/>
        <v>-5.6173806061961776E-2</v>
      </c>
      <c r="N32" s="65">
        <f t="shared" si="22"/>
        <v>4662.6499999999996</v>
      </c>
      <c r="O32" s="68">
        <f t="shared" si="23"/>
        <v>4457.1499999999996</v>
      </c>
      <c r="P32" s="80">
        <f t="shared" si="24"/>
        <v>-205.5</v>
      </c>
      <c r="Q32" s="58">
        <f t="shared" si="25"/>
        <v>-4.4073649105122625E-2</v>
      </c>
      <c r="R32" s="56">
        <v>20</v>
      </c>
      <c r="S32" s="56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20" t="s">
        <v>8</v>
      </c>
      <c r="B33" s="66">
        <f t="shared" si="10"/>
        <v>1306.9545454545455</v>
      </c>
      <c r="C33" s="69">
        <f t="shared" si="11"/>
        <v>1350.9130434782608</v>
      </c>
      <c r="D33" s="71">
        <f t="shared" si="12"/>
        <v>43.958498023715265</v>
      </c>
      <c r="E33" s="61">
        <f t="shared" si="13"/>
        <v>3.3634297517536806E-2</v>
      </c>
      <c r="F33" s="66">
        <f t="shared" si="14"/>
        <v>1508.1818181818182</v>
      </c>
      <c r="G33" s="69">
        <f t="shared" si="15"/>
        <v>1488.2608695652175</v>
      </c>
      <c r="H33" s="81">
        <f t="shared" si="16"/>
        <v>-19.920948616600754</v>
      </c>
      <c r="I33" s="61">
        <f t="shared" si="17"/>
        <v>-1.3208585580627383E-2</v>
      </c>
      <c r="J33" s="66">
        <f t="shared" si="18"/>
        <v>1685.909090909091</v>
      </c>
      <c r="K33" s="69">
        <f t="shared" si="19"/>
        <v>1761.2608695652175</v>
      </c>
      <c r="L33" s="81">
        <f t="shared" si="20"/>
        <v>75.351778656126498</v>
      </c>
      <c r="M33" s="61">
        <f t="shared" si="21"/>
        <v>4.4695042610805688E-2</v>
      </c>
      <c r="N33" s="66">
        <f t="shared" si="22"/>
        <v>4501.045454545455</v>
      </c>
      <c r="O33" s="69">
        <f t="shared" si="23"/>
        <v>4600.434782608696</v>
      </c>
      <c r="P33" s="81">
        <f t="shared" si="24"/>
        <v>99.38932806324101</v>
      </c>
      <c r="Q33" s="59">
        <f t="shared" si="25"/>
        <v>2.2081387328108642E-2</v>
      </c>
      <c r="R33" s="85">
        <v>22</v>
      </c>
      <c r="S33" s="85">
        <v>23</v>
      </c>
      <c r="T33" s="77">
        <f t="shared" si="26"/>
        <v>22</v>
      </c>
      <c r="U33" s="77">
        <f t="shared" si="26"/>
        <v>23</v>
      </c>
    </row>
    <row r="34" spans="1:21" ht="11.25" customHeight="1" x14ac:dyDescent="0.2">
      <c r="A34" s="20" t="s">
        <v>9</v>
      </c>
      <c r="B34" s="65">
        <f t="shared" si="10"/>
        <v>1406.75</v>
      </c>
      <c r="C34" s="68">
        <f t="shared" si="11"/>
        <v>1400.5</v>
      </c>
      <c r="D34" s="64">
        <f t="shared" si="12"/>
        <v>-6.25</v>
      </c>
      <c r="E34" s="60">
        <f t="shared" si="13"/>
        <v>-4.4428647591967301E-3</v>
      </c>
      <c r="F34" s="65">
        <f t="shared" si="14"/>
        <v>1625</v>
      </c>
      <c r="G34" s="68">
        <f t="shared" si="15"/>
        <v>1596.4444444444443</v>
      </c>
      <c r="H34" s="80">
        <f t="shared" si="16"/>
        <v>-28.555555555555657</v>
      </c>
      <c r="I34" s="60">
        <f t="shared" si="17"/>
        <v>-1.7572649572649635E-2</v>
      </c>
      <c r="J34" s="65">
        <f t="shared" si="18"/>
        <v>1869.65</v>
      </c>
      <c r="K34" s="68">
        <f t="shared" si="19"/>
        <v>1776.1666666666667</v>
      </c>
      <c r="L34" s="80">
        <f t="shared" si="20"/>
        <v>-93.483333333333348</v>
      </c>
      <c r="M34" s="60">
        <f t="shared" si="21"/>
        <v>-5.0000445716221399E-2</v>
      </c>
      <c r="N34" s="65">
        <f t="shared" si="22"/>
        <v>4901.3999999999996</v>
      </c>
      <c r="O34" s="68">
        <f t="shared" si="23"/>
        <v>4773.1111111111113</v>
      </c>
      <c r="P34" s="80">
        <f t="shared" si="24"/>
        <v>-128.28888888888832</v>
      </c>
      <c r="Q34" s="58">
        <f t="shared" si="25"/>
        <v>-2.6173927630654167E-2</v>
      </c>
      <c r="R34" s="56">
        <v>20</v>
      </c>
      <c r="S34" s="56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10</v>
      </c>
      <c r="B35" s="65">
        <f t="shared" si="10"/>
        <v>1442.6666666666667</v>
      </c>
      <c r="C35" s="68">
        <f t="shared" si="11"/>
        <v>1354.952380952381</v>
      </c>
      <c r="D35" s="64">
        <f t="shared" si="12"/>
        <v>-87.714285714285779</v>
      </c>
      <c r="E35" s="60">
        <f t="shared" si="13"/>
        <v>-6.0800105624504927E-2</v>
      </c>
      <c r="F35" s="65">
        <f t="shared" si="14"/>
        <v>1653.6666666666667</v>
      </c>
      <c r="G35" s="68">
        <f t="shared" si="15"/>
        <v>1473.7619047619048</v>
      </c>
      <c r="H35" s="80">
        <f t="shared" si="16"/>
        <v>-179.90476190476193</v>
      </c>
      <c r="I35" s="60">
        <f t="shared" si="17"/>
        <v>-0.10879143029919083</v>
      </c>
      <c r="J35" s="65">
        <f t="shared" si="18"/>
        <v>1864.6666666666667</v>
      </c>
      <c r="K35" s="68">
        <f t="shared" si="19"/>
        <v>1795.3809523809523</v>
      </c>
      <c r="L35" s="80">
        <f t="shared" si="20"/>
        <v>-69.285714285714448</v>
      </c>
      <c r="M35" s="60">
        <f t="shared" si="21"/>
        <v>-3.7157158179682397E-2</v>
      </c>
      <c r="N35" s="65">
        <f t="shared" si="22"/>
        <v>4961</v>
      </c>
      <c r="O35" s="68">
        <f t="shared" si="23"/>
        <v>4624.0952380952385</v>
      </c>
      <c r="P35" s="80">
        <f t="shared" si="24"/>
        <v>-336.90476190476147</v>
      </c>
      <c r="Q35" s="58">
        <f t="shared" si="25"/>
        <v>-6.791065549380397E-2</v>
      </c>
      <c r="R35" s="56">
        <v>18</v>
      </c>
      <c r="S35" s="56">
        <v>21</v>
      </c>
      <c r="T35" s="77">
        <f t="shared" si="26"/>
        <v>18</v>
      </c>
      <c r="U35" s="77">
        <f t="shared" si="26"/>
        <v>21</v>
      </c>
    </row>
    <row r="36" spans="1:21" ht="11.25" customHeight="1" x14ac:dyDescent="0.2">
      <c r="A36" s="20" t="s">
        <v>11</v>
      </c>
      <c r="B36" s="66">
        <f t="shared" si="10"/>
        <v>1299.7272727272727</v>
      </c>
      <c r="C36" s="69">
        <f t="shared" si="11"/>
        <v>1228.6818181818182</v>
      </c>
      <c r="D36" s="71">
        <f t="shared" si="12"/>
        <v>-71.045454545454504</v>
      </c>
      <c r="E36" s="61">
        <f t="shared" si="13"/>
        <v>-5.466181716444006E-2</v>
      </c>
      <c r="F36" s="66">
        <f t="shared" si="14"/>
        <v>1433.6363636363637</v>
      </c>
      <c r="G36" s="69">
        <f t="shared" si="15"/>
        <v>1432.8181818181818</v>
      </c>
      <c r="H36" s="81">
        <f t="shared" si="16"/>
        <v>-0.81818181818198354</v>
      </c>
      <c r="I36" s="61">
        <f t="shared" si="17"/>
        <v>-5.7070386810411018E-4</v>
      </c>
      <c r="J36" s="66">
        <f t="shared" si="18"/>
        <v>1737.7727272727273</v>
      </c>
      <c r="K36" s="69">
        <f t="shared" si="19"/>
        <v>1624.8181818181818</v>
      </c>
      <c r="L36" s="81">
        <f t="shared" si="20"/>
        <v>-112.9545454545455</v>
      </c>
      <c r="M36" s="61">
        <f t="shared" si="21"/>
        <v>-6.4999607648243599E-2</v>
      </c>
      <c r="N36" s="66">
        <f t="shared" si="22"/>
        <v>4471.136363636364</v>
      </c>
      <c r="O36" s="69">
        <f t="shared" si="23"/>
        <v>4286.318181818182</v>
      </c>
      <c r="P36" s="81">
        <f t="shared" si="24"/>
        <v>-184.81818181818198</v>
      </c>
      <c r="Q36" s="59">
        <f t="shared" si="25"/>
        <v>-4.1335841000355852E-2</v>
      </c>
      <c r="R36" s="85">
        <v>22</v>
      </c>
      <c r="S36" s="85">
        <v>22</v>
      </c>
      <c r="T36" s="77">
        <f t="shared" si="26"/>
        <v>22</v>
      </c>
      <c r="U36" s="77">
        <f t="shared" si="26"/>
        <v>22</v>
      </c>
    </row>
    <row r="37" spans="1:21" ht="11.25" customHeight="1" x14ac:dyDescent="0.2">
      <c r="A37" s="20" t="s">
        <v>12</v>
      </c>
      <c r="B37" s="65">
        <f t="shared" si="10"/>
        <v>1148.8260869565217</v>
      </c>
      <c r="C37" s="68">
        <f t="shared" si="11"/>
        <v>1279.3809523809523</v>
      </c>
      <c r="D37" s="64">
        <f t="shared" si="12"/>
        <v>130.55486542443055</v>
      </c>
      <c r="E37" s="60">
        <f t="shared" si="13"/>
        <v>0.11364197497490454</v>
      </c>
      <c r="F37" s="65">
        <f t="shared" si="14"/>
        <v>1345.7391304347825</v>
      </c>
      <c r="G37" s="68">
        <f t="shared" si="15"/>
        <v>1431.952380952381</v>
      </c>
      <c r="H37" s="80">
        <f t="shared" si="16"/>
        <v>86.213250517598453</v>
      </c>
      <c r="I37" s="60">
        <f t="shared" si="17"/>
        <v>6.4063865401420408E-2</v>
      </c>
      <c r="J37" s="65">
        <f t="shared" si="18"/>
        <v>1407.9565217391305</v>
      </c>
      <c r="K37" s="68">
        <f t="shared" si="19"/>
        <v>1697.6190476190477</v>
      </c>
      <c r="L37" s="80">
        <f t="shared" si="20"/>
        <v>289.66252587991721</v>
      </c>
      <c r="M37" s="60">
        <f t="shared" si="21"/>
        <v>0.20573257867517203</v>
      </c>
      <c r="N37" s="65">
        <f t="shared" si="22"/>
        <v>3902.521739130435</v>
      </c>
      <c r="O37" s="68">
        <f t="shared" si="23"/>
        <v>4408.9523809523807</v>
      </c>
      <c r="P37" s="80">
        <f t="shared" si="24"/>
        <v>506.43064182194576</v>
      </c>
      <c r="Q37" s="58">
        <f t="shared" si="25"/>
        <v>0.12977010140494163</v>
      </c>
      <c r="R37" s="56">
        <v>23</v>
      </c>
      <c r="S37" s="56">
        <v>21</v>
      </c>
      <c r="T37" s="77">
        <f t="shared" si="26"/>
        <v>23</v>
      </c>
      <c r="U37" s="77">
        <f t="shared" si="26"/>
        <v>21</v>
      </c>
    </row>
    <row r="38" spans="1:21" ht="11.25" customHeight="1" x14ac:dyDescent="0.2">
      <c r="A38" s="20" t="s">
        <v>13</v>
      </c>
      <c r="B38" s="65">
        <f t="shared" si="10"/>
        <v>1181.6666666666667</v>
      </c>
      <c r="C38" s="68">
        <f t="shared" si="11"/>
        <v>1163.5454545454545</v>
      </c>
      <c r="D38" s="64">
        <f t="shared" si="12"/>
        <v>-18.121212121212238</v>
      </c>
      <c r="E38" s="60">
        <f t="shared" si="13"/>
        <v>-1.5335299397358735E-2</v>
      </c>
      <c r="F38" s="65">
        <f t="shared" si="14"/>
        <v>1146.1428571428571</v>
      </c>
      <c r="G38" s="68">
        <f t="shared" si="15"/>
        <v>1010.2272727272727</v>
      </c>
      <c r="H38" s="80">
        <f t="shared" si="16"/>
        <v>-135.91558441558436</v>
      </c>
      <c r="I38" s="60">
        <f t="shared" si="17"/>
        <v>-0.11858520390241688</v>
      </c>
      <c r="J38" s="65">
        <f t="shared" si="18"/>
        <v>1566.2380952380952</v>
      </c>
      <c r="K38" s="68">
        <f t="shared" si="19"/>
        <v>1609.2727272727273</v>
      </c>
      <c r="L38" s="80">
        <f t="shared" si="20"/>
        <v>43.034632034632068</v>
      </c>
      <c r="M38" s="60">
        <f t="shared" si="21"/>
        <v>2.7476430413404074E-2</v>
      </c>
      <c r="N38" s="65">
        <f t="shared" si="22"/>
        <v>3894.0476190476193</v>
      </c>
      <c r="O38" s="68">
        <f t="shared" si="23"/>
        <v>3783.0454545454545</v>
      </c>
      <c r="P38" s="80">
        <f t="shared" si="24"/>
        <v>-111.00216450216476</v>
      </c>
      <c r="Q38" s="58">
        <f t="shared" si="25"/>
        <v>-2.850560017787172E-2</v>
      </c>
      <c r="R38" s="56">
        <v>21</v>
      </c>
      <c r="S38" s="56">
        <v>22</v>
      </c>
      <c r="T38" s="77">
        <f t="shared" si="26"/>
        <v>21</v>
      </c>
      <c r="U38" s="77">
        <f t="shared" si="26"/>
        <v>22</v>
      </c>
    </row>
    <row r="39" spans="1:21" ht="11.25" customHeight="1" x14ac:dyDescent="0.2">
      <c r="A39" s="20" t="s">
        <v>14</v>
      </c>
      <c r="B39" s="66">
        <f t="shared" si="10"/>
        <v>1289.7272727272727</v>
      </c>
      <c r="C39" s="69">
        <f t="shared" si="11"/>
        <v>1347.4285714285713</v>
      </c>
      <c r="D39" s="71">
        <f t="shared" si="12"/>
        <v>57.701298701298583</v>
      </c>
      <c r="E39" s="61">
        <f t="shared" si="13"/>
        <v>4.4739147509289097E-2</v>
      </c>
      <c r="F39" s="66">
        <f t="shared" si="14"/>
        <v>1407.9545454545455</v>
      </c>
      <c r="G39" s="69">
        <f t="shared" si="15"/>
        <v>1641.2380952380952</v>
      </c>
      <c r="H39" s="81">
        <f t="shared" si="16"/>
        <v>233.28354978354969</v>
      </c>
      <c r="I39" s="61">
        <f t="shared" si="17"/>
        <v>0.16568968830470035</v>
      </c>
      <c r="J39" s="66">
        <f t="shared" si="18"/>
        <v>1658.7727272727273</v>
      </c>
      <c r="K39" s="69">
        <f t="shared" si="19"/>
        <v>1751.952380952381</v>
      </c>
      <c r="L39" s="81">
        <f t="shared" si="20"/>
        <v>93.179653679653711</v>
      </c>
      <c r="M39" s="61">
        <f t="shared" si="21"/>
        <v>5.6173851997708649E-2</v>
      </c>
      <c r="N39" s="66">
        <f t="shared" si="22"/>
        <v>4356.454545454545</v>
      </c>
      <c r="O39" s="69">
        <f t="shared" si="23"/>
        <v>4740.6190476190477</v>
      </c>
      <c r="P39" s="81">
        <f t="shared" si="24"/>
        <v>384.16450216450266</v>
      </c>
      <c r="Q39" s="59">
        <f t="shared" si="25"/>
        <v>8.8182832658115023E-2</v>
      </c>
      <c r="R39" s="85">
        <v>22</v>
      </c>
      <c r="S39" s="85">
        <v>21</v>
      </c>
      <c r="T39" s="77">
        <f t="shared" si="26"/>
        <v>22</v>
      </c>
      <c r="U39" s="77">
        <f t="shared" si="26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22</v>
      </c>
      <c r="S40" s="56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2"/>
        <v/>
      </c>
      <c r="E42" s="60" t="str">
        <f t="shared" si="13"/>
        <v/>
      </c>
      <c r="F42" s="65" t="str">
        <f t="shared" si="14"/>
        <v/>
      </c>
      <c r="G42" s="68" t="str">
        <f t="shared" si="15"/>
        <v/>
      </c>
      <c r="H42" s="80" t="str">
        <f t="shared" si="16"/>
        <v/>
      </c>
      <c r="I42" s="60" t="str">
        <f t="shared" si="17"/>
        <v/>
      </c>
      <c r="J42" s="65" t="str">
        <f t="shared" si="18"/>
        <v/>
      </c>
      <c r="K42" s="68" t="str">
        <f t="shared" si="19"/>
        <v/>
      </c>
      <c r="L42" s="80" t="str">
        <f t="shared" si="20"/>
        <v/>
      </c>
      <c r="M42" s="60" t="str">
        <f t="shared" si="21"/>
        <v/>
      </c>
      <c r="N42" s="65" t="str">
        <f t="shared" si="22"/>
        <v/>
      </c>
      <c r="O42" s="68" t="str">
        <f t="shared" si="23"/>
        <v/>
      </c>
      <c r="P42" s="80" t="str">
        <f t="shared" si="24"/>
        <v/>
      </c>
      <c r="Q42" s="58" t="str">
        <f t="shared" si="25"/>
        <v/>
      </c>
      <c r="R42" s="56">
        <v>22</v>
      </c>
      <c r="S42" s="56">
        <v>19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75" t="s">
        <v>29</v>
      </c>
      <c r="B43" s="67">
        <f>AVERAGE(B31:B42)</f>
        <v>1284.3594642072903</v>
      </c>
      <c r="C43" s="70">
        <f>IF(C11="","",AVERAGE(C31:C42))</f>
        <v>1285.9780245519373</v>
      </c>
      <c r="D43" s="62">
        <f>IF(D31="","",AVERAGE(D31:D42))</f>
        <v>1.6185603446472467</v>
      </c>
      <c r="E43" s="54">
        <f t="shared" si="13"/>
        <v>1.2602082125396049E-3</v>
      </c>
      <c r="F43" s="67">
        <f>AVERAGE(F31:F42)</f>
        <v>1444.6187778405169</v>
      </c>
      <c r="G43" s="70">
        <f>IF(G11="","",AVERAGE(G31:G42))</f>
        <v>1425.9518650967925</v>
      </c>
      <c r="H43" s="82">
        <f>IF(H31="","",AVERAGE(H31:H42))</f>
        <v>-18.666912743724374</v>
      </c>
      <c r="I43" s="54">
        <f t="shared" si="17"/>
        <v>-1.2921687735243612E-2</v>
      </c>
      <c r="J43" s="67">
        <f>AVERAGE(J31:J42)</f>
        <v>1661.8861503231069</v>
      </c>
      <c r="K43" s="70">
        <f>IF(K11="","",AVERAGE(K31:K42))</f>
        <v>1673.3730211012823</v>
      </c>
      <c r="L43" s="82">
        <f>IF(L31="","",AVERAGE(L31:L42))</f>
        <v>11.486870778175115</v>
      </c>
      <c r="M43" s="54">
        <f t="shared" si="21"/>
        <v>6.9119480753492921E-3</v>
      </c>
      <c r="N43" s="67">
        <f>AVERAGE(N31:N42)</f>
        <v>4390.8643923709133</v>
      </c>
      <c r="O43" s="70">
        <f>IF(O11="","",AVERAGE(O31:O42))</f>
        <v>4385.3029107500124</v>
      </c>
      <c r="P43" s="82">
        <f>IF(P31="","",AVERAGE(P31:P42))</f>
        <v>-5.5614816209018603</v>
      </c>
      <c r="Q43" s="55">
        <f t="shared" si="25"/>
        <v>-1.2666029109356857E-3</v>
      </c>
      <c r="R43" s="57">
        <f>SUM(R31:R42)</f>
        <v>254</v>
      </c>
      <c r="S43" s="86">
        <f>SUM(S31:S42)</f>
        <v>253</v>
      </c>
      <c r="T43" s="77">
        <f>SUM(T31:T42)</f>
        <v>189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13"/>
      <c r="C44" s="109">
        <f>COUNTIF(C31:C42,"&gt;0")</f>
        <v>9</v>
      </c>
      <c r="D44" s="110"/>
      <c r="E44" s="111"/>
      <c r="F44" s="109"/>
      <c r="G44" s="109">
        <f>COUNTIF(G31:G42,"&gt;0")</f>
        <v>9</v>
      </c>
      <c r="H44" s="110"/>
      <c r="I44" s="111"/>
      <c r="J44" s="109"/>
      <c r="K44" s="109">
        <f>COUNTIF(K31:K42,"&gt;0")</f>
        <v>9</v>
      </c>
      <c r="L44" s="110"/>
      <c r="M44" s="111"/>
      <c r="N44" s="109"/>
      <c r="O44" s="109">
        <f>COUNTIF(O31:O42,"&gt;0")</f>
        <v>9</v>
      </c>
      <c r="P44" s="114"/>
      <c r="Q44" s="115"/>
      <c r="R44" s="112"/>
      <c r="S44" s="112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ad1y83YLeeP5+Y/LCT5Esx3NCXvxRpQDRCv3c3OQFT8t0ELdcq96AOlRkfn6H4D+PeRZiuNxJnT/y63dU7wUNg==" saltValue="HNfLSFO6tp8+y/fUc6PKDg==" spinCount="100000" sheet="1" objects="1" scenarios="1" selectLockedCells="1" selectUnlockedCells="1"/>
  <mergeCells count="22">
    <mergeCell ref="B2:E2"/>
    <mergeCell ref="D3:E3"/>
    <mergeCell ref="B6:E7"/>
    <mergeCell ref="B3:C3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S43">
    <cfRule type="expression" dxfId="15" priority="9" stopIfTrue="1">
      <formula>S43&lt;$R43</formula>
    </cfRule>
    <cfRule type="expression" dxfId="14" priority="10" stopIfTrue="1">
      <formula>S43&gt;$R43</formula>
    </cfRule>
  </conditionalFormatting>
  <conditionalFormatting sqref="B14:B21 F12:F22 J12:J22 N12:N22">
    <cfRule type="expression" dxfId="13" priority="11" stopIfTrue="1">
      <formula>C12=""</formula>
    </cfRule>
  </conditionalFormatting>
  <conditionalFormatting sqref="B22 B12:B13">
    <cfRule type="expression" dxfId="12" priority="12" stopIfTrue="1">
      <formula>C12=""</formula>
    </cfRule>
  </conditionalFormatting>
  <conditionalFormatting sqref="R31:R42">
    <cfRule type="expression" dxfId="11" priority="3" stopIfTrue="1">
      <formula>R31&lt;$R31</formula>
    </cfRule>
    <cfRule type="expression" dxfId="10" priority="4" stopIfTrue="1">
      <formula>R31&gt;$R31</formula>
    </cfRule>
  </conditionalFormatting>
  <conditionalFormatting sqref="S31:S42">
    <cfRule type="expression" dxfId="9" priority="1" stopIfTrue="1">
      <formula>S31&lt;$R31</formula>
    </cfRule>
    <cfRule type="expression" dxfId="8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1"/>
  <sheetViews>
    <sheetView showGridLines="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3.1" customHeight="1" x14ac:dyDescent="0.2"/>
    <row r="2" spans="1:21" ht="16.5" customHeight="1" x14ac:dyDescent="0.2">
      <c r="A2" s="95" t="s">
        <v>27</v>
      </c>
      <c r="B2" s="125" t="s">
        <v>34</v>
      </c>
      <c r="C2" s="125"/>
      <c r="D2" s="125"/>
      <c r="E2" s="125"/>
      <c r="Q2" s="79"/>
    </row>
    <row r="3" spans="1:21" ht="13.5" customHeight="1" x14ac:dyDescent="0.2">
      <c r="A3" s="1"/>
      <c r="B3" s="126" t="s">
        <v>20</v>
      </c>
      <c r="C3" s="126"/>
      <c r="D3" s="127" t="s">
        <v>19</v>
      </c>
      <c r="E3" s="127"/>
      <c r="Q3" s="78"/>
      <c r="U3" s="24"/>
    </row>
    <row r="4" spans="1:21" ht="11.25" customHeight="1" x14ac:dyDescent="0.2">
      <c r="A4" s="3"/>
      <c r="B4" s="4"/>
      <c r="C4" s="4"/>
      <c r="D4" s="146" t="s">
        <v>25</v>
      </c>
      <c r="E4" s="14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  <c r="U5" s="24"/>
    </row>
    <row r="6" spans="1:21" ht="4.5" customHeight="1" x14ac:dyDescent="0.2"/>
    <row r="7" spans="1:21" ht="11.25" customHeight="1" x14ac:dyDescent="0.2">
      <c r="A7" s="7"/>
      <c r="B7" s="117" t="s">
        <v>30</v>
      </c>
      <c r="C7" s="118"/>
      <c r="D7" s="118"/>
      <c r="E7" s="118"/>
      <c r="F7" s="9"/>
    </row>
    <row r="8" spans="1:21" ht="11.25" customHeight="1" thickBot="1" x14ac:dyDescent="0.25">
      <c r="B8" s="119"/>
      <c r="C8" s="119"/>
      <c r="D8" s="119"/>
      <c r="E8" s="119"/>
    </row>
    <row r="9" spans="1:21" s="9" customFormat="1" ht="11.25" customHeight="1" thickBot="1" x14ac:dyDescent="0.25">
      <c r="A9" s="8" t="s">
        <v>4</v>
      </c>
      <c r="B9" s="136" t="s">
        <v>0</v>
      </c>
      <c r="C9" s="137"/>
      <c r="D9" s="137"/>
      <c r="E9" s="138"/>
      <c r="F9" s="122" t="s">
        <v>1</v>
      </c>
      <c r="G9" s="123"/>
      <c r="H9" s="123"/>
      <c r="I9" s="124"/>
      <c r="J9" s="128" t="s">
        <v>2</v>
      </c>
      <c r="K9" s="129"/>
      <c r="L9" s="129"/>
      <c r="M9" s="129"/>
      <c r="N9" s="130" t="s">
        <v>3</v>
      </c>
      <c r="O9" s="131"/>
      <c r="P9" s="131"/>
      <c r="Q9" s="132"/>
    </row>
    <row r="10" spans="1:21" s="9" customFormat="1" ht="11.25" customHeight="1" x14ac:dyDescent="0.2">
      <c r="A10" s="10"/>
      <c r="B10" s="45">
        <f>'BON-NS'!B9</f>
        <v>2016</v>
      </c>
      <c r="C10" s="46">
        <f>'BON-NS'!C9</f>
        <v>2017</v>
      </c>
      <c r="D10" s="120" t="s">
        <v>5</v>
      </c>
      <c r="E10" s="121"/>
      <c r="F10" s="45">
        <f>$B$10</f>
        <v>2016</v>
      </c>
      <c r="G10" s="46">
        <f>$C$10</f>
        <v>2017</v>
      </c>
      <c r="H10" s="120" t="s">
        <v>5</v>
      </c>
      <c r="I10" s="121"/>
      <c r="J10" s="45">
        <f>$B$10</f>
        <v>2016</v>
      </c>
      <c r="K10" s="46">
        <f>$C$10</f>
        <v>2017</v>
      </c>
      <c r="L10" s="120" t="s">
        <v>5</v>
      </c>
      <c r="M10" s="133"/>
      <c r="N10" s="45">
        <f>$B$10</f>
        <v>2016</v>
      </c>
      <c r="O10" s="46">
        <f>$C$10</f>
        <v>2017</v>
      </c>
      <c r="P10" s="120" t="s">
        <v>5</v>
      </c>
      <c r="Q10" s="121"/>
    </row>
    <row r="11" spans="1:21" s="9" customFormat="1" ht="11.25" customHeight="1" x14ac:dyDescent="0.2">
      <c r="A11" s="74" t="s">
        <v>24</v>
      </c>
      <c r="B11" s="11">
        <f>$R$44</f>
        <v>254</v>
      </c>
      <c r="C11" s="12">
        <f>$S$44</f>
        <v>253</v>
      </c>
      <c r="D11" s="13"/>
      <c r="E11" s="14"/>
      <c r="F11" s="15"/>
      <c r="G11" s="16"/>
      <c r="H11" s="13"/>
      <c r="I11" s="14"/>
      <c r="J11" s="15"/>
      <c r="K11" s="16"/>
      <c r="L11" s="13"/>
      <c r="M11" s="17"/>
      <c r="N11" s="18"/>
      <c r="O11" s="19"/>
      <c r="P11" s="13"/>
      <c r="Q11" s="14"/>
    </row>
    <row r="12" spans="1:21" ht="11.25" customHeight="1" x14ac:dyDescent="0.2">
      <c r="A12" s="20" t="s">
        <v>6</v>
      </c>
      <c r="B12" s="96">
        <f>SUM('TTL-NS'!B11,'TTL-SN'!B11)</f>
        <v>61028</v>
      </c>
      <c r="C12" s="42">
        <f>IF('TTL-NS'!C11="","",SUM('TTL-NS'!C11,'TTL-SN'!C11))</f>
        <v>64155</v>
      </c>
      <c r="D12" s="21">
        <f t="shared" ref="D12:D23" si="0">IF(C12="","",C12-B12)</f>
        <v>3127</v>
      </c>
      <c r="E12" s="58">
        <f t="shared" ref="E12:E24" si="1">IF(D12="","",D12/B12)</f>
        <v>5.1238775643966707E-2</v>
      </c>
      <c r="F12" s="33">
        <f>SUM('TTL-NS'!F11,'TTL-SN'!F11)</f>
        <v>61269</v>
      </c>
      <c r="G12" s="42">
        <f>IF('TTL-NS'!G11="","",SUM('TTL-NS'!G11,'TTL-SN'!G11))</f>
        <v>62007</v>
      </c>
      <c r="H12" s="21">
        <f t="shared" ref="H12:H23" si="2">IF(G12="","",G12-F12)</f>
        <v>738</v>
      </c>
      <c r="I12" s="58">
        <f t="shared" ref="I12:I24" si="3">IF(H12="","",H12/F12)</f>
        <v>1.2045243108260295E-2</v>
      </c>
      <c r="J12" s="33">
        <f>SUM('TTL-NS'!J11,'TTL-SN'!J11)</f>
        <v>34565</v>
      </c>
      <c r="K12" s="42">
        <f>IF('TTL-NS'!K11="","",SUM('TTL-NS'!K11,'TTL-SN'!K11))</f>
        <v>36157</v>
      </c>
      <c r="L12" s="21">
        <f t="shared" ref="L12:L23" si="4">IF(K12="","",K12-J12)</f>
        <v>1592</v>
      </c>
      <c r="M12" s="58">
        <f t="shared" ref="M12:M24" si="5">IF(L12="","",L12/J12)</f>
        <v>4.6058151309127729E-2</v>
      </c>
      <c r="N12" s="33">
        <f>SUM(B12,F12,J12)</f>
        <v>156862</v>
      </c>
      <c r="O12" s="30">
        <f t="shared" ref="O12:O23" si="6">IF(C12="","",SUM(C12,G12,K12))</f>
        <v>162319</v>
      </c>
      <c r="P12" s="21">
        <f t="shared" ref="P12:P23" si="7">IF(O12="","",O12-N12)</f>
        <v>5457</v>
      </c>
      <c r="Q12" s="58">
        <f t="shared" ref="Q12:Q24" si="8">IF(P12="","",P12/N12)</f>
        <v>3.4788540245566164E-2</v>
      </c>
    </row>
    <row r="13" spans="1:21" ht="11.25" customHeight="1" x14ac:dyDescent="0.2">
      <c r="A13" s="20" t="s">
        <v>7</v>
      </c>
      <c r="B13" s="96">
        <f>SUM('TTL-NS'!B12,'TTL-SN'!B12)</f>
        <v>69363</v>
      </c>
      <c r="C13" s="42">
        <f>IF('TTL-NS'!C12="","",SUM('TTL-NS'!C12,'TTL-SN'!C12))</f>
        <v>66614</v>
      </c>
      <c r="D13" s="21">
        <f t="shared" si="0"/>
        <v>-2749</v>
      </c>
      <c r="E13" s="58">
        <f t="shared" si="1"/>
        <v>-3.9632080504015108E-2</v>
      </c>
      <c r="F13" s="33">
        <f>SUM('TTL-NS'!F12,'TTL-SN'!F12)</f>
        <v>69363</v>
      </c>
      <c r="G13" s="42">
        <f>IF('TTL-NS'!G12="","",SUM('TTL-NS'!G12,'TTL-SN'!G12))</f>
        <v>65871</v>
      </c>
      <c r="H13" s="21">
        <f t="shared" si="2"/>
        <v>-3492</v>
      </c>
      <c r="I13" s="58">
        <f t="shared" si="3"/>
        <v>-5.0343843259374597E-2</v>
      </c>
      <c r="J13" s="33">
        <f>SUM('TTL-NS'!J12,'TTL-SN'!J12)</f>
        <v>41936</v>
      </c>
      <c r="K13" s="42">
        <f>IF('TTL-NS'!K12="","",SUM('TTL-NS'!K12,'TTL-SN'!K12))</f>
        <v>39058</v>
      </c>
      <c r="L13" s="21">
        <f t="shared" si="4"/>
        <v>-2878</v>
      </c>
      <c r="M13" s="58">
        <f t="shared" si="5"/>
        <v>-6.8628386112170925E-2</v>
      </c>
      <c r="N13" s="33">
        <f t="shared" ref="N13:N23" si="9">SUM(B13,F13,J13)</f>
        <v>180662</v>
      </c>
      <c r="O13" s="30">
        <f t="shared" si="6"/>
        <v>171543</v>
      </c>
      <c r="P13" s="21">
        <f t="shared" si="7"/>
        <v>-9119</v>
      </c>
      <c r="Q13" s="58">
        <f t="shared" si="8"/>
        <v>-5.04754735362168E-2</v>
      </c>
    </row>
    <row r="14" spans="1:21" ht="11.25" customHeight="1" x14ac:dyDescent="0.2">
      <c r="A14" s="20" t="s">
        <v>8</v>
      </c>
      <c r="B14" s="97">
        <f>SUM('TTL-NS'!B13,'TTL-SN'!B13)</f>
        <v>74923</v>
      </c>
      <c r="C14" s="43">
        <f>IF('TTL-NS'!C13="","",SUM('TTL-NS'!C13,'TTL-SN'!C13))</f>
        <v>80782</v>
      </c>
      <c r="D14" s="22">
        <f t="shared" si="0"/>
        <v>5859</v>
      </c>
      <c r="E14" s="59">
        <f t="shared" si="1"/>
        <v>7.8200285626576618E-2</v>
      </c>
      <c r="F14" s="35">
        <f>SUM('TTL-NS'!F13,'TTL-SN'!F13)</f>
        <v>71963</v>
      </c>
      <c r="G14" s="43">
        <f>IF('TTL-NS'!G13="","",SUM('TTL-NS'!G13,'TTL-SN'!G13))</f>
        <v>76341</v>
      </c>
      <c r="H14" s="22">
        <f t="shared" si="2"/>
        <v>4378</v>
      </c>
      <c r="I14" s="59">
        <f t="shared" si="3"/>
        <v>6.0836818920834319E-2</v>
      </c>
      <c r="J14" s="35">
        <f>SUM('TTL-NS'!J13,'TTL-SN'!J13)</f>
        <v>43630</v>
      </c>
      <c r="K14" s="43">
        <f>IF('TTL-NS'!K13="","",SUM('TTL-NS'!K13,'TTL-SN'!K13))</f>
        <v>46503</v>
      </c>
      <c r="L14" s="22">
        <f t="shared" si="4"/>
        <v>2873</v>
      </c>
      <c r="M14" s="59">
        <f t="shared" si="5"/>
        <v>6.5849186339674542E-2</v>
      </c>
      <c r="N14" s="35">
        <f t="shared" si="9"/>
        <v>190516</v>
      </c>
      <c r="O14" s="31">
        <f t="shared" si="6"/>
        <v>203626</v>
      </c>
      <c r="P14" s="22">
        <f t="shared" si="7"/>
        <v>13110</v>
      </c>
      <c r="Q14" s="59">
        <f t="shared" si="8"/>
        <v>6.8813118058325809E-2</v>
      </c>
    </row>
    <row r="15" spans="1:21" ht="11.25" customHeight="1" x14ac:dyDescent="0.2">
      <c r="A15" s="20" t="s">
        <v>9</v>
      </c>
      <c r="B15" s="96">
        <f>SUM('TTL-NS'!B14,'TTL-SN'!B14)</f>
        <v>74023</v>
      </c>
      <c r="C15" s="42">
        <f>IF('TTL-NS'!C14="","",SUM('TTL-NS'!C14,'TTL-SN'!C14))</f>
        <v>66046</v>
      </c>
      <c r="D15" s="21">
        <f t="shared" si="0"/>
        <v>-7977</v>
      </c>
      <c r="E15" s="58">
        <f t="shared" si="1"/>
        <v>-0.10776380314226659</v>
      </c>
      <c r="F15" s="33">
        <f>SUM('TTL-NS'!F14,'TTL-SN'!F14)</f>
        <v>70364</v>
      </c>
      <c r="G15" s="42">
        <f>IF('TTL-NS'!G14="","",SUM('TTL-NS'!G14,'TTL-SN'!G14))</f>
        <v>61399</v>
      </c>
      <c r="H15" s="21">
        <f t="shared" si="2"/>
        <v>-8965</v>
      </c>
      <c r="I15" s="58">
        <f t="shared" si="3"/>
        <v>-0.12740890227957477</v>
      </c>
      <c r="J15" s="33">
        <f>SUM('TTL-NS'!J14,'TTL-SN'!J14)</f>
        <v>43282</v>
      </c>
      <c r="K15" s="42">
        <f>IF('TTL-NS'!K14="","",SUM('TTL-NS'!K14,'TTL-SN'!K14))</f>
        <v>37128</v>
      </c>
      <c r="L15" s="21">
        <f t="shared" si="4"/>
        <v>-6154</v>
      </c>
      <c r="M15" s="58">
        <f t="shared" si="5"/>
        <v>-0.14218381775333858</v>
      </c>
      <c r="N15" s="33">
        <f t="shared" si="9"/>
        <v>187669</v>
      </c>
      <c r="O15" s="30">
        <f t="shared" si="6"/>
        <v>164573</v>
      </c>
      <c r="P15" s="21">
        <f t="shared" si="7"/>
        <v>-23096</v>
      </c>
      <c r="Q15" s="58">
        <f t="shared" si="8"/>
        <v>-0.12306774160889651</v>
      </c>
    </row>
    <row r="16" spans="1:21" ht="11.25" customHeight="1" x14ac:dyDescent="0.2">
      <c r="A16" s="20" t="s">
        <v>10</v>
      </c>
      <c r="B16" s="96">
        <f>SUM('TTL-NS'!B15,'TTL-SN'!B15)</f>
        <v>68476</v>
      </c>
      <c r="C16" s="42">
        <f>IF('TTL-NS'!C15="","",SUM('TTL-NS'!C15,'TTL-SN'!C15))</f>
        <v>75473</v>
      </c>
      <c r="D16" s="21">
        <f t="shared" si="0"/>
        <v>6997</v>
      </c>
      <c r="E16" s="58">
        <f t="shared" si="1"/>
        <v>0.10218178631929435</v>
      </c>
      <c r="F16" s="33">
        <f>SUM('TTL-NS'!F15,'TTL-SN'!F15)</f>
        <v>65554</v>
      </c>
      <c r="G16" s="42">
        <f>IF('TTL-NS'!G15="","",SUM('TTL-NS'!G15,'TTL-SN'!G15))</f>
        <v>69235</v>
      </c>
      <c r="H16" s="21">
        <f t="shared" si="2"/>
        <v>3681</v>
      </c>
      <c r="I16" s="58">
        <f t="shared" si="3"/>
        <v>5.615217988223449E-2</v>
      </c>
      <c r="J16" s="33">
        <f>SUM('TTL-NS'!J15,'TTL-SN'!J15)</f>
        <v>38729</v>
      </c>
      <c r="K16" s="42">
        <f>IF('TTL-NS'!K15="","",SUM('TTL-NS'!K15,'TTL-SN'!K15))</f>
        <v>42537</v>
      </c>
      <c r="L16" s="21">
        <f t="shared" si="4"/>
        <v>3808</v>
      </c>
      <c r="M16" s="58">
        <f t="shared" si="5"/>
        <v>9.8324253143639129E-2</v>
      </c>
      <c r="N16" s="33">
        <f t="shared" si="9"/>
        <v>172759</v>
      </c>
      <c r="O16" s="30">
        <f t="shared" si="6"/>
        <v>187245</v>
      </c>
      <c r="P16" s="21">
        <f t="shared" si="7"/>
        <v>14486</v>
      </c>
      <c r="Q16" s="58">
        <f t="shared" si="8"/>
        <v>8.3850913700588683E-2</v>
      </c>
    </row>
    <row r="17" spans="1:21" ht="11.25" customHeight="1" x14ac:dyDescent="0.2">
      <c r="A17" s="20" t="s">
        <v>11</v>
      </c>
      <c r="B17" s="97">
        <f>SUM('TTL-NS'!B16,'TTL-SN'!B16)</f>
        <v>77160</v>
      </c>
      <c r="C17" s="43">
        <f>IF('TTL-NS'!C16="","",SUM('TTL-NS'!C16,'TTL-SN'!C16))</f>
        <v>72915</v>
      </c>
      <c r="D17" s="22">
        <f t="shared" si="0"/>
        <v>-4245</v>
      </c>
      <c r="E17" s="59">
        <f t="shared" si="1"/>
        <v>-5.5015552099533439E-2</v>
      </c>
      <c r="F17" s="35">
        <f>SUM('TTL-NS'!F16,'TTL-SN'!F16)</f>
        <v>69064</v>
      </c>
      <c r="G17" s="43">
        <f>IF('TTL-NS'!G16="","",SUM('TTL-NS'!G16,'TTL-SN'!G16))</f>
        <v>68512</v>
      </c>
      <c r="H17" s="22">
        <f t="shared" si="2"/>
        <v>-552</v>
      </c>
      <c r="I17" s="59">
        <f t="shared" si="3"/>
        <v>-7.9925865863546847E-3</v>
      </c>
      <c r="J17" s="35">
        <f>SUM('TTL-NS'!J16,'TTL-SN'!J16)</f>
        <v>44484</v>
      </c>
      <c r="K17" s="43">
        <f>IF('TTL-NS'!K16="","",SUM('TTL-NS'!K16,'TTL-SN'!K16))</f>
        <v>40414</v>
      </c>
      <c r="L17" s="22">
        <f t="shared" si="4"/>
        <v>-4070</v>
      </c>
      <c r="M17" s="59">
        <f t="shared" si="5"/>
        <v>-9.1493570722057369E-2</v>
      </c>
      <c r="N17" s="35">
        <f t="shared" si="9"/>
        <v>190708</v>
      </c>
      <c r="O17" s="31">
        <f t="shared" si="6"/>
        <v>181841</v>
      </c>
      <c r="P17" s="22">
        <f t="shared" si="7"/>
        <v>-8867</v>
      </c>
      <c r="Q17" s="59">
        <f t="shared" si="8"/>
        <v>-4.6495165383728006E-2</v>
      </c>
    </row>
    <row r="18" spans="1:21" ht="11.25" customHeight="1" x14ac:dyDescent="0.2">
      <c r="A18" s="20" t="s">
        <v>12</v>
      </c>
      <c r="B18" s="96">
        <f>SUM('TTL-NS'!B17,'TTL-SN'!B17)</f>
        <v>67794</v>
      </c>
      <c r="C18" s="42">
        <f>IF('TTL-NS'!C17="","",SUM('TTL-NS'!C17,'TTL-SN'!C17))</f>
        <v>69991</v>
      </c>
      <c r="D18" s="21">
        <f t="shared" si="0"/>
        <v>2197</v>
      </c>
      <c r="E18" s="58">
        <f t="shared" si="1"/>
        <v>3.240699766941027E-2</v>
      </c>
      <c r="F18" s="33">
        <f>SUM('TTL-NS'!F17,'TTL-SN'!F17)</f>
        <v>64670</v>
      </c>
      <c r="G18" s="42">
        <f>IF('TTL-NS'!G17="","",SUM('TTL-NS'!G17,'TTL-SN'!G17))</f>
        <v>65141</v>
      </c>
      <c r="H18" s="21">
        <f t="shared" si="2"/>
        <v>471</v>
      </c>
      <c r="I18" s="58">
        <f t="shared" si="3"/>
        <v>7.28312973558064E-3</v>
      </c>
      <c r="J18" s="33">
        <f>SUM('TTL-NS'!J17,'TTL-SN'!J17)</f>
        <v>38420</v>
      </c>
      <c r="K18" s="42">
        <f>IF('TTL-NS'!K17="","",SUM('TTL-NS'!K17,'TTL-SN'!K17))</f>
        <v>40488</v>
      </c>
      <c r="L18" s="21">
        <f t="shared" si="4"/>
        <v>2068</v>
      </c>
      <c r="M18" s="58">
        <f t="shared" si="5"/>
        <v>5.3826132222800624E-2</v>
      </c>
      <c r="N18" s="33">
        <f t="shared" si="9"/>
        <v>170884</v>
      </c>
      <c r="O18" s="30">
        <f t="shared" si="6"/>
        <v>175620</v>
      </c>
      <c r="P18" s="21">
        <f t="shared" si="7"/>
        <v>4736</v>
      </c>
      <c r="Q18" s="58">
        <f t="shared" si="8"/>
        <v>2.7714707052737531E-2</v>
      </c>
    </row>
    <row r="19" spans="1:21" ht="11.25" customHeight="1" x14ac:dyDescent="0.2">
      <c r="A19" s="20" t="s">
        <v>13</v>
      </c>
      <c r="B19" s="96">
        <f>SUM('TTL-NS'!B18,'TTL-SN'!B18)</f>
        <v>66788</v>
      </c>
      <c r="C19" s="42">
        <f>IF('TTL-NS'!C18="","",SUM('TTL-NS'!C18,'TTL-SN'!C18))</f>
        <v>69102</v>
      </c>
      <c r="D19" s="21">
        <f t="shared" si="0"/>
        <v>2314</v>
      </c>
      <c r="E19" s="58">
        <f t="shared" si="1"/>
        <v>3.4646942564532553E-2</v>
      </c>
      <c r="F19" s="33">
        <f>SUM('TTL-NS'!F18,'TTL-SN'!F18)</f>
        <v>54250</v>
      </c>
      <c r="G19" s="42">
        <f>IF('TTL-NS'!G18="","",SUM('TTL-NS'!G18,'TTL-SN'!G18))</f>
        <v>54944</v>
      </c>
      <c r="H19" s="21">
        <f t="shared" si="2"/>
        <v>694</v>
      </c>
      <c r="I19" s="58">
        <f t="shared" si="3"/>
        <v>1.2792626728110599E-2</v>
      </c>
      <c r="J19" s="33">
        <f>SUM('TTL-NS'!J18,'TTL-SN'!J18)</f>
        <v>38512</v>
      </c>
      <c r="K19" s="42">
        <f>IF('TTL-NS'!K18="","",SUM('TTL-NS'!K18,'TTL-SN'!K18))</f>
        <v>40356</v>
      </c>
      <c r="L19" s="21">
        <f t="shared" si="4"/>
        <v>1844</v>
      </c>
      <c r="M19" s="58">
        <f t="shared" si="5"/>
        <v>4.7881179891981721E-2</v>
      </c>
      <c r="N19" s="33">
        <f t="shared" si="9"/>
        <v>159550</v>
      </c>
      <c r="O19" s="30">
        <f t="shared" si="6"/>
        <v>164402</v>
      </c>
      <c r="P19" s="21">
        <f t="shared" si="7"/>
        <v>4852</v>
      </c>
      <c r="Q19" s="58">
        <f t="shared" si="8"/>
        <v>3.0410529614540896E-2</v>
      </c>
    </row>
    <row r="20" spans="1:21" ht="11.25" customHeight="1" x14ac:dyDescent="0.2">
      <c r="A20" s="20" t="s">
        <v>14</v>
      </c>
      <c r="B20" s="97">
        <f>SUM('TTL-NS'!B19,'TTL-SN'!B19)</f>
        <v>73768</v>
      </c>
      <c r="C20" s="43">
        <f>IF('TTL-NS'!C19="","",SUM('TTL-NS'!C19,'TTL-SN'!C19))</f>
        <v>75189</v>
      </c>
      <c r="D20" s="22">
        <f t="shared" si="0"/>
        <v>1421</v>
      </c>
      <c r="E20" s="59">
        <f t="shared" si="1"/>
        <v>1.9263095108990349E-2</v>
      </c>
      <c r="F20" s="35">
        <f>SUM('TTL-NS'!F19,'TTL-SN'!F19)</f>
        <v>67682</v>
      </c>
      <c r="G20" s="43">
        <f>IF('TTL-NS'!G19="","",SUM('TTL-NS'!G19,'TTL-SN'!G19))</f>
        <v>75084</v>
      </c>
      <c r="H20" s="22">
        <f t="shared" si="2"/>
        <v>7402</v>
      </c>
      <c r="I20" s="59">
        <f t="shared" si="3"/>
        <v>0.10936438048521024</v>
      </c>
      <c r="J20" s="35">
        <f>SUM('TTL-NS'!J19,'TTL-SN'!J19)</f>
        <v>42698</v>
      </c>
      <c r="K20" s="43">
        <f>IF('TTL-NS'!K19="","",SUM('TTL-NS'!K19,'TTL-SN'!K19))</f>
        <v>41087</v>
      </c>
      <c r="L20" s="22">
        <f t="shared" si="4"/>
        <v>-1611</v>
      </c>
      <c r="M20" s="59">
        <f t="shared" si="5"/>
        <v>-3.7730104454541197E-2</v>
      </c>
      <c r="N20" s="35">
        <f t="shared" si="9"/>
        <v>184148</v>
      </c>
      <c r="O20" s="31">
        <f t="shared" si="6"/>
        <v>191360</v>
      </c>
      <c r="P20" s="22">
        <f t="shared" si="7"/>
        <v>7212</v>
      </c>
      <c r="Q20" s="59">
        <f t="shared" si="8"/>
        <v>3.916415057453787E-2</v>
      </c>
    </row>
    <row r="21" spans="1:21" ht="11.25" customHeight="1" x14ac:dyDescent="0.2">
      <c r="A21" s="20" t="s">
        <v>15</v>
      </c>
      <c r="B21" s="96">
        <f>SUM('TTL-NS'!B20,'TTL-SN'!B20)</f>
        <v>70326</v>
      </c>
      <c r="C21" s="42" t="str">
        <f>IF('TTL-NS'!C20="","",SUM('TTL-NS'!C20,'TTL-SN'!C20))</f>
        <v/>
      </c>
      <c r="D21" s="21" t="str">
        <f t="shared" si="0"/>
        <v/>
      </c>
      <c r="E21" s="58" t="str">
        <f t="shared" si="1"/>
        <v/>
      </c>
      <c r="F21" s="33">
        <f>SUM('TTL-NS'!F20,'TTL-SN'!F20)</f>
        <v>66156</v>
      </c>
      <c r="G21" s="42" t="str">
        <f>IF('TTL-NS'!G20="","",SUM('TTL-NS'!G20,'TTL-SN'!G20))</f>
        <v/>
      </c>
      <c r="H21" s="21" t="str">
        <f t="shared" si="2"/>
        <v/>
      </c>
      <c r="I21" s="58" t="str">
        <f t="shared" si="3"/>
        <v/>
      </c>
      <c r="J21" s="33">
        <f>SUM('TTL-NS'!J20,'TTL-SN'!J20)</f>
        <v>40752</v>
      </c>
      <c r="K21" s="42" t="str">
        <f>IF('TTL-NS'!K20="","",SUM('TTL-NS'!K20,'TTL-SN'!K20))</f>
        <v/>
      </c>
      <c r="L21" s="21" t="str">
        <f t="shared" si="4"/>
        <v/>
      </c>
      <c r="M21" s="58" t="str">
        <f t="shared" si="5"/>
        <v/>
      </c>
      <c r="N21" s="33">
        <f t="shared" si="9"/>
        <v>177234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x14ac:dyDescent="0.2">
      <c r="A22" s="20" t="s">
        <v>16</v>
      </c>
      <c r="B22" s="96">
        <f>SUM('TTL-NS'!B21,'TTL-SN'!B21)</f>
        <v>74084</v>
      </c>
      <c r="C22" s="42" t="str">
        <f>IF('TTL-NS'!C21="","",SUM('TTL-NS'!C21,'TTL-SN'!C21))</f>
        <v/>
      </c>
      <c r="D22" s="21" t="str">
        <f t="shared" si="0"/>
        <v/>
      </c>
      <c r="E22" s="58" t="str">
        <f t="shared" si="1"/>
        <v/>
      </c>
      <c r="F22" s="33">
        <f>SUM('TTL-NS'!F21,'TTL-SN'!F21)</f>
        <v>68291</v>
      </c>
      <c r="G22" s="42" t="str">
        <f>IF('TTL-NS'!G21="","",SUM('TTL-NS'!G21,'TTL-SN'!G21))</f>
        <v/>
      </c>
      <c r="H22" s="21" t="str">
        <f t="shared" si="2"/>
        <v/>
      </c>
      <c r="I22" s="58" t="str">
        <f t="shared" si="3"/>
        <v/>
      </c>
      <c r="J22" s="33">
        <f>SUM('TTL-NS'!J21,'TTL-SN'!J21)</f>
        <v>41139</v>
      </c>
      <c r="K22" s="42" t="str">
        <f>IF('TTL-NS'!K21="","",SUM('TTL-NS'!K21,'TTL-SN'!K21))</f>
        <v/>
      </c>
      <c r="L22" s="21" t="str">
        <f t="shared" si="4"/>
        <v/>
      </c>
      <c r="M22" s="58" t="str">
        <f t="shared" si="5"/>
        <v/>
      </c>
      <c r="N22" s="33">
        <f t="shared" si="9"/>
        <v>183514</v>
      </c>
      <c r="O22" s="30" t="str">
        <f t="shared" si="6"/>
        <v/>
      </c>
      <c r="P22" s="21" t="str">
        <f t="shared" si="7"/>
        <v/>
      </c>
      <c r="Q22" s="58" t="str">
        <f t="shared" si="8"/>
        <v/>
      </c>
    </row>
    <row r="23" spans="1:21" ht="11.25" customHeight="1" thickBot="1" x14ac:dyDescent="0.25">
      <c r="A23" s="23" t="s">
        <v>17</v>
      </c>
      <c r="B23" s="98">
        <f>SUM('TTL-NS'!B22,'TTL-SN'!B22)</f>
        <v>59109</v>
      </c>
      <c r="C23" s="44" t="str">
        <f>IF('TTL-NS'!C22="","",SUM('TTL-NS'!C22,'TTL-SN'!C22))</f>
        <v/>
      </c>
      <c r="D23" s="21" t="str">
        <f t="shared" si="0"/>
        <v/>
      </c>
      <c r="E23" s="52" t="str">
        <f t="shared" si="1"/>
        <v/>
      </c>
      <c r="F23" s="34">
        <f>SUM('TTL-NS'!F22,'TTL-SN'!F22)</f>
        <v>58835</v>
      </c>
      <c r="G23" s="44" t="str">
        <f>IF('TTL-NS'!G22="","",SUM('TTL-NS'!G22,'TTL-SN'!G22))</f>
        <v/>
      </c>
      <c r="H23" s="21" t="str">
        <f t="shared" si="2"/>
        <v/>
      </c>
      <c r="I23" s="52" t="str">
        <f t="shared" si="3"/>
        <v/>
      </c>
      <c r="J23" s="34">
        <f>SUM('TTL-NS'!J22,'TTL-SN'!J22)</f>
        <v>35593</v>
      </c>
      <c r="K23" s="44" t="str">
        <f>IF('TTL-NS'!K22="","",SUM('TTL-NS'!K22,'TTL-SN'!K22))</f>
        <v/>
      </c>
      <c r="L23" s="21" t="str">
        <f t="shared" si="4"/>
        <v/>
      </c>
      <c r="M23" s="52" t="str">
        <f t="shared" si="5"/>
        <v/>
      </c>
      <c r="N23" s="34">
        <f t="shared" si="9"/>
        <v>153537</v>
      </c>
      <c r="O23" s="32" t="str">
        <f t="shared" si="6"/>
        <v/>
      </c>
      <c r="P23" s="21" t="str">
        <f t="shared" si="7"/>
        <v/>
      </c>
      <c r="Q23" s="52" t="str">
        <f t="shared" si="8"/>
        <v/>
      </c>
    </row>
    <row r="24" spans="1:21" ht="11.25" customHeight="1" thickBot="1" x14ac:dyDescent="0.25">
      <c r="A24" s="39" t="s">
        <v>3</v>
      </c>
      <c r="B24" s="36">
        <f>IF(C25&lt;7,B25,B26)</f>
        <v>633323</v>
      </c>
      <c r="C24" s="37">
        <f>IF(C12="","",SUM(C12:C23))</f>
        <v>640267</v>
      </c>
      <c r="D24" s="38">
        <f>IF(D12="","",SUM(D12:D23))</f>
        <v>6944</v>
      </c>
      <c r="E24" s="53">
        <f t="shared" si="1"/>
        <v>1.0964389418985258E-2</v>
      </c>
      <c r="F24" s="36">
        <f>IF(G25&lt;7,F25,F26)</f>
        <v>0</v>
      </c>
      <c r="G24" s="37">
        <f>IF(G12="","",SUM(G12:G23))</f>
        <v>598534</v>
      </c>
      <c r="H24" s="38">
        <f>IF(H12="","",SUM(H12:H23))</f>
        <v>4355</v>
      </c>
      <c r="I24" s="53" t="e">
        <f t="shared" si="3"/>
        <v>#DIV/0!</v>
      </c>
      <c r="J24" s="36">
        <f>IF(K25&lt;7,J25,J26)</f>
        <v>366256</v>
      </c>
      <c r="K24" s="37">
        <f>IF(K12="","",SUM(K12:K23))</f>
        <v>363728</v>
      </c>
      <c r="L24" s="38">
        <f>IF(L12="","",SUM(L12:L23))</f>
        <v>-2528</v>
      </c>
      <c r="M24" s="53">
        <f t="shared" si="5"/>
        <v>-6.9022760036695644E-3</v>
      </c>
      <c r="N24" s="36">
        <f>IF(O25&lt;7,N25,N26)</f>
        <v>1593758</v>
      </c>
      <c r="O24" s="37">
        <f>IF(O12="","",SUM(O12:O23))</f>
        <v>1602529</v>
      </c>
      <c r="P24" s="38">
        <f>IF(P12="","",SUM(P12:P23))</f>
        <v>8771</v>
      </c>
      <c r="Q24" s="53">
        <f t="shared" si="8"/>
        <v>5.5033449243862623E-3</v>
      </c>
    </row>
    <row r="25" spans="1:21" ht="11.25" customHeight="1" x14ac:dyDescent="0.2">
      <c r="A25" s="102" t="s">
        <v>28</v>
      </c>
      <c r="B25" s="103" t="str">
        <f>IF(C25=1,B12,IF(C25=2,SUM(B12:B13),IF(C25=3,SUM(B12:B14),IF(C25=4,SUM(B12:B15),IF(C25=5,SUM(B12:B16),IF(C25=6,SUM(B12:B17),""))))))</f>
        <v/>
      </c>
      <c r="C25" s="103">
        <f>COUNTIF(C12:C23,"&gt;0")</f>
        <v>9</v>
      </c>
      <c r="D25" s="103"/>
      <c r="E25" s="104"/>
      <c r="F25" s="103" t="str">
        <f>IF(G25=1,F12,IF(G25=2,SUM(F12:F13),IF(G25=3,SUM(F12:F14),IF(G25=4,SUM(F12:F15),IF(G25=5,SUM(F12:F16),IF(G25=6,SUM(F12:F17),""))))))</f>
        <v/>
      </c>
      <c r="G25" s="103">
        <f>COUNTIF(G12:G23,"&gt;0")</f>
        <v>9</v>
      </c>
      <c r="H25" s="103"/>
      <c r="I25" s="104"/>
      <c r="J25" s="103" t="str">
        <f>IF(K25=1,J12,IF(K25=2,SUM(J12:J13),IF(K25=3,SUM(J12:J14),IF(K25=4,SUM(J12:J15),IF(K25=5,SUM(J12:J16),IF(K25=6,SUM(J12:J17),""))))))</f>
        <v/>
      </c>
      <c r="K25" s="103">
        <f>COUNTIF(K12:K23,"&gt;0")</f>
        <v>9</v>
      </c>
      <c r="L25" s="103"/>
      <c r="M25" s="104"/>
      <c r="N25" s="103" t="str">
        <f>IF(O25=1,N12,IF(O25=2,SUM(N12:N13),IF(O25=3,SUM(N12:N14),IF(O25=4,SUM(N12:N15),IF(O25=5,SUM(N12:N16),IF(O25=6,SUM(N12:N17),""))))))</f>
        <v/>
      </c>
      <c r="O25" s="103">
        <f>COUNTIF(O12:O23,"&gt;0")</f>
        <v>9</v>
      </c>
      <c r="P25" s="106"/>
      <c r="Q25" s="107"/>
      <c r="R25" s="105"/>
      <c r="S25" s="105"/>
    </row>
    <row r="26" spans="1:21" ht="11.25" customHeight="1" x14ac:dyDescent="0.2">
      <c r="B26" s="76">
        <f>IF(C25=7,SUM(B12:B18),IF(C25=8,SUM(B12:B19),IF(C25=9,SUM(B12:B20),IF(C25=10,SUM(B12:B21),IF(C25=11,SUM(B12:B22),SUM(B12:B23))))))</f>
        <v>633323</v>
      </c>
      <c r="F26" s="76"/>
      <c r="J26" s="76">
        <f>IF(K25=7,SUM(J12:J18),IF(K25=8,SUM(J12:J19),IF(K25=9,SUM(J12:J20),IF(K25=10,SUM(J12:J21),IF(K25=11,SUM(J12:J22),SUM(J12:J23))))))</f>
        <v>366256</v>
      </c>
      <c r="N26" s="76">
        <f>IF(O25=7,SUM(N12:N18),IF(O25=8,SUM(N12:N19),IF(O25=9,SUM(N12:N20),IF(O25=10,SUM(N12:N21),IF(O25=11,SUM(N12:N22),SUM(N12:N23))))))</f>
        <v>1593758</v>
      </c>
    </row>
    <row r="27" spans="1:21" ht="11.25" customHeight="1" x14ac:dyDescent="0.2">
      <c r="A27" s="7"/>
      <c r="B27" s="117" t="s">
        <v>22</v>
      </c>
      <c r="C27" s="118"/>
      <c r="D27" s="118"/>
      <c r="E27" s="118"/>
      <c r="F27" s="9"/>
    </row>
    <row r="28" spans="1:21" ht="11.25" customHeight="1" thickBot="1" x14ac:dyDescent="0.25">
      <c r="B28" s="119"/>
      <c r="C28" s="119"/>
      <c r="D28" s="119"/>
      <c r="E28" s="119"/>
      <c r="F28" s="2" t="s">
        <v>31</v>
      </c>
    </row>
    <row r="29" spans="1:21" ht="11.25" customHeight="1" thickBot="1" x14ac:dyDescent="0.25">
      <c r="A29" s="25" t="s">
        <v>4</v>
      </c>
      <c r="B29" s="136" t="s">
        <v>0</v>
      </c>
      <c r="C29" s="139"/>
      <c r="D29" s="139"/>
      <c r="E29" s="140"/>
      <c r="F29" s="122" t="s">
        <v>1</v>
      </c>
      <c r="G29" s="123"/>
      <c r="H29" s="123"/>
      <c r="I29" s="124"/>
      <c r="J29" s="128" t="s">
        <v>2</v>
      </c>
      <c r="K29" s="129"/>
      <c r="L29" s="129"/>
      <c r="M29" s="129"/>
      <c r="N29" s="130" t="s">
        <v>3</v>
      </c>
      <c r="O29" s="131"/>
      <c r="P29" s="131"/>
      <c r="Q29" s="132"/>
    </row>
    <row r="30" spans="1:21" ht="11.25" customHeight="1" thickBot="1" x14ac:dyDescent="0.25">
      <c r="A30" s="10"/>
      <c r="B30" s="45">
        <f>$B$10</f>
        <v>2016</v>
      </c>
      <c r="C30" s="46">
        <f>$C$10</f>
        <v>2017</v>
      </c>
      <c r="D30" s="120" t="s">
        <v>5</v>
      </c>
      <c r="E30" s="133"/>
      <c r="F30" s="45">
        <f>$B$10</f>
        <v>2016</v>
      </c>
      <c r="G30" s="46">
        <f>$C$10</f>
        <v>2017</v>
      </c>
      <c r="H30" s="120" t="s">
        <v>5</v>
      </c>
      <c r="I30" s="133"/>
      <c r="J30" s="45">
        <f>$B$10</f>
        <v>2016</v>
      </c>
      <c r="K30" s="46">
        <f>$C$10</f>
        <v>2017</v>
      </c>
      <c r="L30" s="120" t="s">
        <v>5</v>
      </c>
      <c r="M30" s="133"/>
      <c r="N30" s="45">
        <f>$B$10</f>
        <v>2016</v>
      </c>
      <c r="O30" s="46">
        <f>$C$10</f>
        <v>2017</v>
      </c>
      <c r="P30" s="120" t="s">
        <v>5</v>
      </c>
      <c r="Q30" s="121"/>
      <c r="R30" s="73" t="str">
        <f>RIGHT(B10,2)</f>
        <v>16</v>
      </c>
      <c r="S30" s="72" t="str">
        <f>RIGHT(C10,2)</f>
        <v>17</v>
      </c>
    </row>
    <row r="31" spans="1:21" ht="11.25" customHeight="1" thickBot="1" x14ac:dyDescent="0.25">
      <c r="A31" s="74" t="s">
        <v>24</v>
      </c>
      <c r="B31" s="11">
        <f>T44</f>
        <v>189</v>
      </c>
      <c r="C31" s="12">
        <f>U44</f>
        <v>190</v>
      </c>
      <c r="D31" s="13"/>
      <c r="E31" s="17"/>
      <c r="F31" s="18"/>
      <c r="G31" s="16"/>
      <c r="H31" s="13"/>
      <c r="I31" s="17"/>
      <c r="J31" s="18"/>
      <c r="K31" s="16"/>
      <c r="L31" s="13"/>
      <c r="M31" s="17"/>
      <c r="N31" s="18"/>
      <c r="O31" s="19"/>
      <c r="P31" s="13"/>
      <c r="Q31" s="14"/>
      <c r="R31" s="141" t="s">
        <v>23</v>
      </c>
      <c r="S31" s="142"/>
    </row>
    <row r="32" spans="1:21" ht="11.25" customHeight="1" x14ac:dyDescent="0.2">
      <c r="A32" s="20" t="s">
        <v>6</v>
      </c>
      <c r="B32" s="65">
        <f t="shared" ref="B32:B43" si="10">IF(C12="","",B12/$R32)</f>
        <v>2906.0952380952381</v>
      </c>
      <c r="C32" s="68">
        <f t="shared" ref="C32:C43" si="11">IF(C12="","",C12/$S32)</f>
        <v>2916.1363636363635</v>
      </c>
      <c r="D32" s="64">
        <f t="shared" ref="D32:D43" si="12">IF(C32="","",C32-B32)</f>
        <v>10.041125541125439</v>
      </c>
      <c r="E32" s="60">
        <f t="shared" ref="E32:E44" si="13">IF(C32="","",(C32-B32)/ABS(B32))</f>
        <v>3.4551949328772728E-3</v>
      </c>
      <c r="F32" s="65">
        <f t="shared" ref="F32:F43" si="14">IF(G12="","",F12/$R32)</f>
        <v>2917.5714285714284</v>
      </c>
      <c r="G32" s="68">
        <f t="shared" ref="G32:G43" si="15">IF(G12="","",G12/$S32)</f>
        <v>2818.5</v>
      </c>
      <c r="H32" s="80">
        <f t="shared" ref="H32:H43" si="16">IF(G32="","",G32-F32)</f>
        <v>-99.071428571428442</v>
      </c>
      <c r="I32" s="60">
        <f t="shared" ref="I32:I44" si="17">IF(G32="","",(G32-F32)/ABS(F32))</f>
        <v>-3.3956813396660582E-2</v>
      </c>
      <c r="J32" s="65">
        <f t="shared" ref="J32:J43" si="18">IF(K12="","",J12/$R32)</f>
        <v>1645.952380952381</v>
      </c>
      <c r="K32" s="68">
        <f t="shared" ref="K32:K43" si="19">IF(K12="","",K12/$S32)</f>
        <v>1643.5</v>
      </c>
      <c r="L32" s="80">
        <f t="shared" ref="L32:L43" si="20">IF(K32="","",K32-J32)</f>
        <v>-2.4523809523809632</v>
      </c>
      <c r="M32" s="60">
        <f t="shared" ref="M32:M44" si="21">IF(K32="","",(K32-J32)/ABS(J32))</f>
        <v>-1.4899464776508093E-3</v>
      </c>
      <c r="N32" s="65">
        <f t="shared" ref="N32:N43" si="22">IF(O12="","",N12/$R32)</f>
        <v>7469.6190476190477</v>
      </c>
      <c r="O32" s="68">
        <f t="shared" ref="O32:O43" si="23">IF(O12="","",O12/$S32)</f>
        <v>7378.136363636364</v>
      </c>
      <c r="P32" s="80">
        <f t="shared" ref="P32:P43" si="24">IF(O32="","",O32-N32)</f>
        <v>-91.482683982683739</v>
      </c>
      <c r="Q32" s="58">
        <f t="shared" ref="Q32:Q44" si="25">IF(O32="","",(O32-N32)/ABS(N32))</f>
        <v>-1.2247302492868626E-2</v>
      </c>
      <c r="R32" s="56">
        <v>21</v>
      </c>
      <c r="S32" s="56">
        <v>22</v>
      </c>
      <c r="T32" s="77">
        <f>IF(OR(N32="",N32=0),"",R32)</f>
        <v>21</v>
      </c>
      <c r="U32" s="77">
        <f>IF(OR(O32="",O32=0),"",S32)</f>
        <v>22</v>
      </c>
    </row>
    <row r="33" spans="1:21" ht="11.25" customHeight="1" x14ac:dyDescent="0.2">
      <c r="A33" s="20" t="s">
        <v>7</v>
      </c>
      <c r="B33" s="65">
        <f t="shared" si="10"/>
        <v>3468.15</v>
      </c>
      <c r="C33" s="68">
        <f t="shared" si="11"/>
        <v>3330.7</v>
      </c>
      <c r="D33" s="64">
        <f t="shared" si="12"/>
        <v>-137.45000000000027</v>
      </c>
      <c r="E33" s="60">
        <f t="shared" si="13"/>
        <v>-3.9632080504015184E-2</v>
      </c>
      <c r="F33" s="65">
        <f t="shared" si="14"/>
        <v>3468.15</v>
      </c>
      <c r="G33" s="68">
        <f t="shared" si="15"/>
        <v>3293.55</v>
      </c>
      <c r="H33" s="80">
        <f t="shared" si="16"/>
        <v>-174.59999999999991</v>
      </c>
      <c r="I33" s="60">
        <f t="shared" si="17"/>
        <v>-5.034384325937457E-2</v>
      </c>
      <c r="J33" s="65">
        <f t="shared" si="18"/>
        <v>2096.8000000000002</v>
      </c>
      <c r="K33" s="68">
        <f t="shared" si="19"/>
        <v>1952.9</v>
      </c>
      <c r="L33" s="80">
        <f t="shared" si="20"/>
        <v>-143.90000000000009</v>
      </c>
      <c r="M33" s="60">
        <f t="shared" si="21"/>
        <v>-6.8628386112170967E-2</v>
      </c>
      <c r="N33" s="65">
        <f t="shared" si="22"/>
        <v>9033.1</v>
      </c>
      <c r="O33" s="68">
        <f t="shared" si="23"/>
        <v>8577.15</v>
      </c>
      <c r="P33" s="80">
        <f t="shared" si="24"/>
        <v>-455.95000000000073</v>
      </c>
      <c r="Q33" s="58">
        <f t="shared" si="25"/>
        <v>-5.0475473536216883E-2</v>
      </c>
      <c r="R33" s="56">
        <v>20</v>
      </c>
      <c r="S33" s="56">
        <v>20</v>
      </c>
      <c r="T33" s="77">
        <f t="shared" ref="T33:U43" si="26">IF(OR(N33="",N33=0),"",R33)</f>
        <v>20</v>
      </c>
      <c r="U33" s="77">
        <f t="shared" si="26"/>
        <v>20</v>
      </c>
    </row>
    <row r="34" spans="1:21" ht="11.25" customHeight="1" x14ac:dyDescent="0.2">
      <c r="A34" s="20" t="s">
        <v>8</v>
      </c>
      <c r="B34" s="66">
        <f t="shared" si="10"/>
        <v>3405.590909090909</v>
      </c>
      <c r="C34" s="69">
        <f t="shared" si="11"/>
        <v>3512.2608695652175</v>
      </c>
      <c r="D34" s="71">
        <f t="shared" si="12"/>
        <v>106.66996047430848</v>
      </c>
      <c r="E34" s="61">
        <f t="shared" si="13"/>
        <v>3.1322012338464648E-2</v>
      </c>
      <c r="F34" s="66">
        <f t="shared" si="14"/>
        <v>3271.0454545454545</v>
      </c>
      <c r="G34" s="69">
        <f t="shared" si="15"/>
        <v>3319.1739130434785</v>
      </c>
      <c r="H34" s="81">
        <f t="shared" si="16"/>
        <v>48.128458498023974</v>
      </c>
      <c r="I34" s="61">
        <f t="shared" si="17"/>
        <v>1.4713478967754644E-2</v>
      </c>
      <c r="J34" s="66">
        <f t="shared" si="18"/>
        <v>1983.1818181818182</v>
      </c>
      <c r="K34" s="69">
        <f t="shared" si="19"/>
        <v>2021.8695652173913</v>
      </c>
      <c r="L34" s="81">
        <f t="shared" si="20"/>
        <v>38.687747035573011</v>
      </c>
      <c r="M34" s="61">
        <f t="shared" si="21"/>
        <v>1.9507917368384281E-2</v>
      </c>
      <c r="N34" s="66">
        <f t="shared" si="22"/>
        <v>8659.818181818182</v>
      </c>
      <c r="O34" s="69">
        <f t="shared" si="23"/>
        <v>8853.3043478260861</v>
      </c>
      <c r="P34" s="81">
        <f t="shared" si="24"/>
        <v>193.4861660079041</v>
      </c>
      <c r="Q34" s="59">
        <f t="shared" si="25"/>
        <v>2.2342982490572393E-2</v>
      </c>
      <c r="R34" s="85">
        <v>22</v>
      </c>
      <c r="S34" s="85">
        <v>23</v>
      </c>
      <c r="T34" s="77">
        <f t="shared" si="26"/>
        <v>22</v>
      </c>
      <c r="U34" s="77">
        <f t="shared" si="26"/>
        <v>23</v>
      </c>
    </row>
    <row r="35" spans="1:21" ht="11.25" customHeight="1" x14ac:dyDescent="0.2">
      <c r="A35" s="20" t="s">
        <v>9</v>
      </c>
      <c r="B35" s="65">
        <f t="shared" si="10"/>
        <v>3701.15</v>
      </c>
      <c r="C35" s="68">
        <f t="shared" si="11"/>
        <v>3669.2222222222222</v>
      </c>
      <c r="D35" s="64">
        <f t="shared" si="12"/>
        <v>-31.927777777777919</v>
      </c>
      <c r="E35" s="60">
        <f t="shared" si="13"/>
        <v>-8.6264479358518081E-3</v>
      </c>
      <c r="F35" s="65">
        <f t="shared" si="14"/>
        <v>3518.2</v>
      </c>
      <c r="G35" s="68">
        <f t="shared" si="15"/>
        <v>3411.0555555555557</v>
      </c>
      <c r="H35" s="80">
        <f t="shared" si="16"/>
        <v>-107.14444444444416</v>
      </c>
      <c r="I35" s="60">
        <f t="shared" si="17"/>
        <v>-3.0454335866194122E-2</v>
      </c>
      <c r="J35" s="65">
        <f t="shared" si="18"/>
        <v>2164.1</v>
      </c>
      <c r="K35" s="68">
        <f t="shared" si="19"/>
        <v>2062.6666666666665</v>
      </c>
      <c r="L35" s="80">
        <f t="shared" si="20"/>
        <v>-101.43333333333339</v>
      </c>
      <c r="M35" s="60">
        <f t="shared" si="21"/>
        <v>-4.6870908614820662E-2</v>
      </c>
      <c r="N35" s="65">
        <f t="shared" si="22"/>
        <v>9383.4500000000007</v>
      </c>
      <c r="O35" s="68">
        <f t="shared" si="23"/>
        <v>9142.9444444444453</v>
      </c>
      <c r="P35" s="80">
        <f t="shared" si="24"/>
        <v>-240.50555555555547</v>
      </c>
      <c r="Q35" s="58">
        <f t="shared" si="25"/>
        <v>-2.5630824009885006E-2</v>
      </c>
      <c r="R35" s="56">
        <v>20</v>
      </c>
      <c r="S35" s="56">
        <v>18</v>
      </c>
      <c r="T35" s="77">
        <f t="shared" si="26"/>
        <v>20</v>
      </c>
      <c r="U35" s="77">
        <f t="shared" si="26"/>
        <v>18</v>
      </c>
    </row>
    <row r="36" spans="1:21" ht="11.25" customHeight="1" x14ac:dyDescent="0.2">
      <c r="A36" s="20" t="s">
        <v>10</v>
      </c>
      <c r="B36" s="65">
        <f t="shared" si="10"/>
        <v>3804.2222222222222</v>
      </c>
      <c r="C36" s="68">
        <f t="shared" si="11"/>
        <v>3593.9523809523807</v>
      </c>
      <c r="D36" s="64">
        <f t="shared" si="12"/>
        <v>-210.26984126984144</v>
      </c>
      <c r="E36" s="60">
        <f t="shared" si="13"/>
        <v>-5.5272754583462029E-2</v>
      </c>
      <c r="F36" s="65">
        <f t="shared" si="14"/>
        <v>3641.8888888888887</v>
      </c>
      <c r="G36" s="68">
        <f t="shared" si="15"/>
        <v>3296.9047619047619</v>
      </c>
      <c r="H36" s="80">
        <f t="shared" si="16"/>
        <v>-344.98412698412676</v>
      </c>
      <c r="I36" s="60">
        <f t="shared" si="17"/>
        <v>-9.4726702958084663E-2</v>
      </c>
      <c r="J36" s="65">
        <f t="shared" si="18"/>
        <v>2151.6111111111113</v>
      </c>
      <c r="K36" s="68">
        <f t="shared" si="19"/>
        <v>2025.5714285714287</v>
      </c>
      <c r="L36" s="80">
        <f t="shared" si="20"/>
        <v>-126.03968253968264</v>
      </c>
      <c r="M36" s="60">
        <f t="shared" si="21"/>
        <v>-5.8579211591166497E-2</v>
      </c>
      <c r="N36" s="65">
        <f t="shared" si="22"/>
        <v>9597.7222222222226</v>
      </c>
      <c r="O36" s="68">
        <f t="shared" si="23"/>
        <v>8916.4285714285706</v>
      </c>
      <c r="P36" s="80">
        <f t="shared" si="24"/>
        <v>-681.29365079365198</v>
      </c>
      <c r="Q36" s="58">
        <f t="shared" si="25"/>
        <v>-7.0984931113781249E-2</v>
      </c>
      <c r="R36" s="56">
        <v>18</v>
      </c>
      <c r="S36" s="56">
        <v>21</v>
      </c>
      <c r="T36" s="77">
        <f t="shared" si="26"/>
        <v>18</v>
      </c>
      <c r="U36" s="77">
        <f t="shared" si="26"/>
        <v>21</v>
      </c>
    </row>
    <row r="37" spans="1:21" ht="11.25" customHeight="1" x14ac:dyDescent="0.2">
      <c r="A37" s="20" t="s">
        <v>11</v>
      </c>
      <c r="B37" s="66">
        <f t="shared" si="10"/>
        <v>3507.2727272727275</v>
      </c>
      <c r="C37" s="69">
        <f t="shared" si="11"/>
        <v>3314.318181818182</v>
      </c>
      <c r="D37" s="71">
        <f t="shared" si="12"/>
        <v>-192.9545454545455</v>
      </c>
      <c r="E37" s="61">
        <f t="shared" si="13"/>
        <v>-5.5015552099533446E-2</v>
      </c>
      <c r="F37" s="66">
        <f t="shared" si="14"/>
        <v>3139.2727272727275</v>
      </c>
      <c r="G37" s="69">
        <f t="shared" si="15"/>
        <v>3114.181818181818</v>
      </c>
      <c r="H37" s="81">
        <f t="shared" si="16"/>
        <v>-25.090909090909463</v>
      </c>
      <c r="I37" s="61">
        <f t="shared" si="17"/>
        <v>-7.9925865863548027E-3</v>
      </c>
      <c r="J37" s="66">
        <f t="shared" si="18"/>
        <v>2022</v>
      </c>
      <c r="K37" s="69">
        <f t="shared" si="19"/>
        <v>1837</v>
      </c>
      <c r="L37" s="81">
        <f t="shared" si="20"/>
        <v>-185</v>
      </c>
      <c r="M37" s="61">
        <f t="shared" si="21"/>
        <v>-9.1493570722057369E-2</v>
      </c>
      <c r="N37" s="66">
        <f t="shared" si="22"/>
        <v>8668.545454545454</v>
      </c>
      <c r="O37" s="69">
        <f t="shared" si="23"/>
        <v>8265.5</v>
      </c>
      <c r="P37" s="81">
        <f t="shared" si="24"/>
        <v>-403.04545454545405</v>
      </c>
      <c r="Q37" s="59">
        <f t="shared" si="25"/>
        <v>-4.649516538372795E-2</v>
      </c>
      <c r="R37" s="85">
        <v>22</v>
      </c>
      <c r="S37" s="85">
        <v>22</v>
      </c>
      <c r="T37" s="77">
        <f t="shared" si="26"/>
        <v>22</v>
      </c>
      <c r="U37" s="77">
        <f t="shared" si="26"/>
        <v>22</v>
      </c>
    </row>
    <row r="38" spans="1:21" ht="11.25" customHeight="1" x14ac:dyDescent="0.2">
      <c r="A38" s="20" t="s">
        <v>12</v>
      </c>
      <c r="B38" s="65">
        <f t="shared" si="10"/>
        <v>2947.5652173913045</v>
      </c>
      <c r="C38" s="68">
        <f t="shared" si="11"/>
        <v>3332.9047619047619</v>
      </c>
      <c r="D38" s="64">
        <f t="shared" si="12"/>
        <v>385.33954451345744</v>
      </c>
      <c r="E38" s="60">
        <f t="shared" si="13"/>
        <v>0.13073147363792548</v>
      </c>
      <c r="F38" s="65">
        <f t="shared" si="14"/>
        <v>2811.7391304347825</v>
      </c>
      <c r="G38" s="68">
        <f t="shared" si="15"/>
        <v>3101.9523809523807</v>
      </c>
      <c r="H38" s="80">
        <f t="shared" si="16"/>
        <v>290.21325051759823</v>
      </c>
      <c r="I38" s="60">
        <f t="shared" si="17"/>
        <v>0.10321485637706447</v>
      </c>
      <c r="J38" s="65">
        <f t="shared" si="18"/>
        <v>1670.4347826086957</v>
      </c>
      <c r="K38" s="68">
        <f t="shared" si="19"/>
        <v>1928</v>
      </c>
      <c r="L38" s="80">
        <f t="shared" si="20"/>
        <v>257.56521739130426</v>
      </c>
      <c r="M38" s="60">
        <f t="shared" si="21"/>
        <v>0.15419052576782918</v>
      </c>
      <c r="N38" s="65">
        <f t="shared" si="22"/>
        <v>7429.739130434783</v>
      </c>
      <c r="O38" s="68">
        <f t="shared" si="23"/>
        <v>8362.8571428571431</v>
      </c>
      <c r="P38" s="80">
        <f t="shared" si="24"/>
        <v>933.11801242236015</v>
      </c>
      <c r="Q38" s="58">
        <f t="shared" si="25"/>
        <v>0.12559229820061726</v>
      </c>
      <c r="R38" s="56">
        <v>23</v>
      </c>
      <c r="S38" s="56">
        <v>21</v>
      </c>
      <c r="T38" s="77">
        <f t="shared" si="26"/>
        <v>23</v>
      </c>
      <c r="U38" s="77">
        <f t="shared" si="26"/>
        <v>21</v>
      </c>
    </row>
    <row r="39" spans="1:21" ht="11.25" customHeight="1" x14ac:dyDescent="0.2">
      <c r="A39" s="20" t="s">
        <v>13</v>
      </c>
      <c r="B39" s="65">
        <f t="shared" si="10"/>
        <v>3180.3809523809523</v>
      </c>
      <c r="C39" s="68">
        <f t="shared" si="11"/>
        <v>3141</v>
      </c>
      <c r="D39" s="64">
        <f t="shared" si="12"/>
        <v>-39.380952380952294</v>
      </c>
      <c r="E39" s="60">
        <f t="shared" si="13"/>
        <v>-1.2382463915673447E-2</v>
      </c>
      <c r="F39" s="65">
        <f t="shared" si="14"/>
        <v>2583.3333333333335</v>
      </c>
      <c r="G39" s="68">
        <f t="shared" si="15"/>
        <v>2497.4545454545455</v>
      </c>
      <c r="H39" s="80">
        <f t="shared" si="16"/>
        <v>-85.878787878787989</v>
      </c>
      <c r="I39" s="60">
        <f t="shared" si="17"/>
        <v>-3.3243401759530833E-2</v>
      </c>
      <c r="J39" s="65">
        <f t="shared" si="18"/>
        <v>1833.9047619047619</v>
      </c>
      <c r="K39" s="68">
        <f t="shared" si="19"/>
        <v>1834.3636363636363</v>
      </c>
      <c r="L39" s="80">
        <f t="shared" si="20"/>
        <v>0.45887445887433387</v>
      </c>
      <c r="M39" s="60">
        <f t="shared" si="21"/>
        <v>2.5021716961884637E-4</v>
      </c>
      <c r="N39" s="65">
        <f t="shared" si="22"/>
        <v>7597.6190476190477</v>
      </c>
      <c r="O39" s="68">
        <f t="shared" si="23"/>
        <v>7472.818181818182</v>
      </c>
      <c r="P39" s="80">
        <f t="shared" si="24"/>
        <v>-124.80086580086572</v>
      </c>
      <c r="Q39" s="58">
        <f t="shared" si="25"/>
        <v>-1.6426312640665498E-2</v>
      </c>
      <c r="R39" s="56">
        <v>21</v>
      </c>
      <c r="S39" s="56">
        <v>22</v>
      </c>
      <c r="T39" s="77">
        <f t="shared" si="26"/>
        <v>21</v>
      </c>
      <c r="U39" s="77">
        <f t="shared" si="26"/>
        <v>22</v>
      </c>
    </row>
    <row r="40" spans="1:21" ht="11.25" customHeight="1" x14ac:dyDescent="0.2">
      <c r="A40" s="20" t="s">
        <v>14</v>
      </c>
      <c r="B40" s="66">
        <f t="shared" si="10"/>
        <v>3353.090909090909</v>
      </c>
      <c r="C40" s="69">
        <f t="shared" si="11"/>
        <v>3580.4285714285716</v>
      </c>
      <c r="D40" s="71">
        <f t="shared" si="12"/>
        <v>227.33766233766255</v>
      </c>
      <c r="E40" s="61">
        <f t="shared" si="13"/>
        <v>6.7799432971323292E-2</v>
      </c>
      <c r="F40" s="66">
        <f t="shared" si="14"/>
        <v>3076.4545454545455</v>
      </c>
      <c r="G40" s="69">
        <f t="shared" si="15"/>
        <v>3575.4285714285716</v>
      </c>
      <c r="H40" s="81">
        <f t="shared" si="16"/>
        <v>498.97402597402606</v>
      </c>
      <c r="I40" s="61">
        <f t="shared" si="17"/>
        <v>0.16219125574641077</v>
      </c>
      <c r="J40" s="66">
        <f t="shared" si="18"/>
        <v>1940.8181818181818</v>
      </c>
      <c r="K40" s="69">
        <f t="shared" si="19"/>
        <v>1956.5238095238096</v>
      </c>
      <c r="L40" s="81">
        <f t="shared" si="20"/>
        <v>15.705627705627876</v>
      </c>
      <c r="M40" s="61">
        <f t="shared" si="21"/>
        <v>8.0922715238140736E-3</v>
      </c>
      <c r="N40" s="66">
        <f t="shared" si="22"/>
        <v>8370.363636363636</v>
      </c>
      <c r="O40" s="69">
        <f t="shared" si="23"/>
        <v>9112.3809523809523</v>
      </c>
      <c r="P40" s="81">
        <f t="shared" si="24"/>
        <v>742.01731601731626</v>
      </c>
      <c r="Q40" s="59">
        <f t="shared" si="25"/>
        <v>8.8648157744754E-2</v>
      </c>
      <c r="R40" s="85">
        <v>22</v>
      </c>
      <c r="S40" s="85">
        <v>21</v>
      </c>
      <c r="T40" s="77">
        <f t="shared" si="26"/>
        <v>22</v>
      </c>
      <c r="U40" s="77">
        <f t="shared" si="26"/>
        <v>21</v>
      </c>
    </row>
    <row r="41" spans="1:21" ht="11.25" customHeight="1" x14ac:dyDescent="0.2">
      <c r="A41" s="20" t="s">
        <v>15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22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20" t="s">
        <v>16</v>
      </c>
      <c r="B42" s="65" t="str">
        <f t="shared" si="10"/>
        <v/>
      </c>
      <c r="C42" s="68" t="str">
        <f t="shared" si="11"/>
        <v/>
      </c>
      <c r="D42" s="64" t="str">
        <f t="shared" si="12"/>
        <v/>
      </c>
      <c r="E42" s="60" t="str">
        <f t="shared" si="13"/>
        <v/>
      </c>
      <c r="F42" s="65" t="str">
        <f t="shared" si="14"/>
        <v/>
      </c>
      <c r="G42" s="68" t="str">
        <f t="shared" si="15"/>
        <v/>
      </c>
      <c r="H42" s="80" t="str">
        <f t="shared" si="16"/>
        <v/>
      </c>
      <c r="I42" s="60" t="str">
        <f t="shared" si="17"/>
        <v/>
      </c>
      <c r="J42" s="65" t="str">
        <f t="shared" si="18"/>
        <v/>
      </c>
      <c r="K42" s="68" t="str">
        <f t="shared" si="19"/>
        <v/>
      </c>
      <c r="L42" s="80" t="str">
        <f t="shared" si="20"/>
        <v/>
      </c>
      <c r="M42" s="60" t="str">
        <f t="shared" si="21"/>
        <v/>
      </c>
      <c r="N42" s="65" t="str">
        <f t="shared" si="22"/>
        <v/>
      </c>
      <c r="O42" s="68" t="str">
        <f t="shared" si="23"/>
        <v/>
      </c>
      <c r="P42" s="80" t="str">
        <f t="shared" si="24"/>
        <v/>
      </c>
      <c r="Q42" s="58" t="str">
        <f t="shared" si="25"/>
        <v/>
      </c>
      <c r="R42" s="56">
        <v>21</v>
      </c>
      <c r="S42" s="56">
        <v>22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20" t="s">
        <v>17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19</v>
      </c>
      <c r="T43" s="77" t="str">
        <f t="shared" si="26"/>
        <v/>
      </c>
      <c r="U43" s="77" t="str">
        <f t="shared" si="26"/>
        <v/>
      </c>
    </row>
    <row r="44" spans="1:21" ht="11.25" customHeight="1" thickBot="1" x14ac:dyDescent="0.25">
      <c r="A44" s="75" t="s">
        <v>29</v>
      </c>
      <c r="B44" s="67">
        <f>AVERAGE(B32:B43)</f>
        <v>3363.7242417271395</v>
      </c>
      <c r="C44" s="70">
        <f>IF(C12="","",AVERAGE(C32:C43))</f>
        <v>3376.7692612808555</v>
      </c>
      <c r="D44" s="62">
        <f>IF(D32="","",AVERAGE(D32:D43))</f>
        <v>13.045019553715166</v>
      </c>
      <c r="E44" s="54">
        <f t="shared" si="13"/>
        <v>3.8781477363369929E-3</v>
      </c>
      <c r="F44" s="67">
        <f>AVERAGE(F32:F43)</f>
        <v>3158.6283898334623</v>
      </c>
      <c r="G44" s="70">
        <f>IF(G12="","",AVERAGE(G32:G43))</f>
        <v>3158.6890607245678</v>
      </c>
      <c r="H44" s="82">
        <f>IF(H32="","",AVERAGE(H32:H43))</f>
        <v>6.0670891105726495E-2</v>
      </c>
      <c r="I44" s="54">
        <f t="shared" si="17"/>
        <v>1.9207986384454904E-5</v>
      </c>
      <c r="J44" s="67">
        <f>AVERAGE(J32:J43)</f>
        <v>1945.4225596196609</v>
      </c>
      <c r="K44" s="70">
        <f>IF(K12="","",AVERAGE(K32:K43))</f>
        <v>1918.0439007047705</v>
      </c>
      <c r="L44" s="82">
        <f>IF(L32="","",AVERAGE(L32:L43))</f>
        <v>-27.378658914890845</v>
      </c>
      <c r="M44" s="54">
        <f t="shared" si="21"/>
        <v>-1.4073373817687721E-2</v>
      </c>
      <c r="N44" s="67">
        <f>AVERAGE(N32:N43)</f>
        <v>8467.7751911802643</v>
      </c>
      <c r="O44" s="70">
        <f>IF(O12="","",AVERAGE(O32:O43))</f>
        <v>8453.5022227101945</v>
      </c>
      <c r="P44" s="82">
        <f>IF(P32="","",AVERAGE(P32:P43))</f>
        <v>-14.272968470070131</v>
      </c>
      <c r="Q44" s="55">
        <f t="shared" si="25"/>
        <v>-1.6855629900208082E-3</v>
      </c>
      <c r="R44" s="57">
        <f>SUM(R32:R43)</f>
        <v>254</v>
      </c>
      <c r="S44" s="86">
        <f>SUM(S32:S43)</f>
        <v>253</v>
      </c>
      <c r="T44" s="77">
        <f>SUM(T32:T43)</f>
        <v>189</v>
      </c>
      <c r="U44" s="76">
        <f>SUM(U32:U43)</f>
        <v>190</v>
      </c>
    </row>
    <row r="45" spans="1:21" s="26" customFormat="1" ht="11.25" customHeight="1" x14ac:dyDescent="0.2">
      <c r="A45" s="108" t="s">
        <v>28</v>
      </c>
      <c r="B45" s="113"/>
      <c r="C45" s="109">
        <f>COUNTIF(C32:C43,"&gt;0")</f>
        <v>9</v>
      </c>
      <c r="D45" s="110"/>
      <c r="E45" s="111"/>
      <c r="F45" s="109"/>
      <c r="G45" s="109">
        <f>COUNTIF(G32:G43,"&gt;0")</f>
        <v>9</v>
      </c>
      <c r="H45" s="110"/>
      <c r="I45" s="111"/>
      <c r="J45" s="109"/>
      <c r="K45" s="109">
        <f>COUNTIF(K32:K43,"&gt;0")</f>
        <v>9</v>
      </c>
      <c r="L45" s="110"/>
      <c r="M45" s="111"/>
      <c r="N45" s="109"/>
      <c r="O45" s="109">
        <f>COUNTIF(O32:O43,"&gt;0")</f>
        <v>9</v>
      </c>
      <c r="P45" s="114"/>
      <c r="Q45" s="115"/>
      <c r="R45" s="112"/>
      <c r="S45" s="112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3NSXblHjuW7mUiq7tvEy2hOg7d6TjcrTyyIa8De+3lRWotIV7bf0knkFBeSPiT/P5Sl7s5XVEOILdowbBFCq1A==" saltValue="YXUejlXTYq4SS2FLP46HfA==" spinCount="100000" sheet="1" objects="1" scenarios="1" selectLockedCells="1" selectUnlockedCells="1"/>
  <mergeCells count="23">
    <mergeCell ref="N29:Q29"/>
    <mergeCell ref="R31:S31"/>
    <mergeCell ref="B9:E9"/>
    <mergeCell ref="D30:E30"/>
    <mergeCell ref="H30:I30"/>
    <mergeCell ref="L30:M30"/>
    <mergeCell ref="P30:Q30"/>
    <mergeCell ref="D10:E10"/>
    <mergeCell ref="H10:I10"/>
    <mergeCell ref="L10:M10"/>
    <mergeCell ref="P10:Q10"/>
    <mergeCell ref="F9:I9"/>
    <mergeCell ref="J9:M9"/>
    <mergeCell ref="N9:Q9"/>
    <mergeCell ref="B29:E29"/>
    <mergeCell ref="F29:I29"/>
    <mergeCell ref="J29:M29"/>
    <mergeCell ref="B7:E8"/>
    <mergeCell ref="B27:E28"/>
    <mergeCell ref="B2:E2"/>
    <mergeCell ref="D3:E3"/>
    <mergeCell ref="D4:E4"/>
    <mergeCell ref="B3:C3"/>
  </mergeCells>
  <phoneticPr fontId="0" type="noConversion"/>
  <conditionalFormatting sqref="S44">
    <cfRule type="expression" dxfId="7" priority="9" stopIfTrue="1">
      <formula>S44&lt;$R44</formula>
    </cfRule>
    <cfRule type="expression" dxfId="6" priority="10" stopIfTrue="1">
      <formula>S44&gt;$R44</formula>
    </cfRule>
  </conditionalFormatting>
  <conditionalFormatting sqref="B15:B22 F13:F23 J13:J23 N13:N23">
    <cfRule type="expression" dxfId="5" priority="11" stopIfTrue="1">
      <formula>C13=""</formula>
    </cfRule>
  </conditionalFormatting>
  <conditionalFormatting sqref="B23 B13:B14">
    <cfRule type="expression" dxfId="4" priority="12" stopIfTrue="1">
      <formula>C13=""</formula>
    </cfRule>
  </conditionalFormatting>
  <conditionalFormatting sqref="R32:R43">
    <cfRule type="expression" dxfId="3" priority="3" stopIfTrue="1">
      <formula>R32&lt;$R32</formula>
    </cfRule>
    <cfRule type="expression" dxfId="2" priority="4" stopIfTrue="1">
      <formula>R32&gt;$R32</formula>
    </cfRule>
  </conditionalFormatting>
  <conditionalFormatting sqref="S32:S43">
    <cfRule type="expression" dxfId="1" priority="1" stopIfTrue="1">
      <formula>S32&lt;$R32</formula>
    </cfRule>
    <cfRule type="expression" dxfId="0" priority="2" stopIfTrue="1">
      <formula>S32&gt;$R32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0"/>
  <sheetViews>
    <sheetView showGridLines="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83" t="s">
        <v>18</v>
      </c>
      <c r="B2" s="145" t="s">
        <v>33</v>
      </c>
      <c r="C2" s="145"/>
      <c r="D2" s="145"/>
      <c r="E2" s="145"/>
      <c r="Q2" s="79"/>
    </row>
    <row r="3" spans="1:17" ht="13.5" customHeight="1" x14ac:dyDescent="0.2">
      <c r="A3" s="1"/>
      <c r="B3" s="126" t="s">
        <v>20</v>
      </c>
      <c r="C3" s="126"/>
      <c r="D3" s="146" t="s">
        <v>25</v>
      </c>
      <c r="E3" s="146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17" t="s">
        <v>30</v>
      </c>
      <c r="C6" s="143"/>
      <c r="D6" s="143"/>
      <c r="E6" s="143"/>
      <c r="F6" s="9"/>
    </row>
    <row r="7" spans="1:17" ht="11.25" customHeight="1" thickBot="1" x14ac:dyDescent="0.25">
      <c r="B7" s="144"/>
      <c r="C7" s="144"/>
      <c r="D7" s="144"/>
      <c r="E7" s="144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f>'BON-NS'!B9</f>
        <v>2016</v>
      </c>
      <c r="C9" s="46">
        <f>'BON-NS'!C9</f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89">
        <v>569</v>
      </c>
      <c r="C11" s="27">
        <v>644</v>
      </c>
      <c r="D11" s="21">
        <f>IF(OR(C11="",B11=0),"",C11-B11)</f>
        <v>75</v>
      </c>
      <c r="E11" s="60">
        <f t="shared" ref="E11:E23" si="0">IF(D11="","",D11/B11)</f>
        <v>0.13181019332161686</v>
      </c>
      <c r="F11" s="89">
        <v>160</v>
      </c>
      <c r="G11" s="27">
        <v>126</v>
      </c>
      <c r="H11" s="21">
        <f>IF(OR(G11="",F11=0),"",G11-F11)</f>
        <v>-34</v>
      </c>
      <c r="I11" s="60">
        <f t="shared" ref="I11:I23" si="1">IF(H11="","",H11/F11)</f>
        <v>-0.21249999999999999</v>
      </c>
      <c r="J11" s="89">
        <v>815</v>
      </c>
      <c r="K11" s="27">
        <v>960</v>
      </c>
      <c r="L11" s="21">
        <f>IF(OR(K11="",J11=0),"",K11-J11)</f>
        <v>145</v>
      </c>
      <c r="M11" s="58">
        <f t="shared" ref="M11:M23" si="2">IF(L11="","",L11/J11)</f>
        <v>0.17791411042944785</v>
      </c>
      <c r="N11" s="33">
        <f t="shared" ref="N11:N22" si="3">SUM(B11,F11,J11)</f>
        <v>1544</v>
      </c>
      <c r="O11" s="30">
        <f t="shared" ref="O11:O22" si="4">IF(C11="","",SUM(C11,G11,K11))</f>
        <v>1730</v>
      </c>
      <c r="P11" s="21">
        <f>IF(OR(O11="",N11=0),"",O11-N11)</f>
        <v>186</v>
      </c>
      <c r="Q11" s="58">
        <f t="shared" ref="Q11:Q23" si="5">IF(P11="","",P11/N11)</f>
        <v>0.12046632124352331</v>
      </c>
    </row>
    <row r="12" spans="1:17" ht="11.25" customHeight="1" x14ac:dyDescent="0.2">
      <c r="A12" s="20" t="s">
        <v>7</v>
      </c>
      <c r="B12" s="89">
        <v>592</v>
      </c>
      <c r="C12" s="27">
        <v>755</v>
      </c>
      <c r="D12" s="21">
        <f t="shared" ref="D12:D22" si="6">IF(OR(C12="",B12=0),"",C12-B12)</f>
        <v>163</v>
      </c>
      <c r="E12" s="60">
        <f t="shared" si="0"/>
        <v>0.27533783783783783</v>
      </c>
      <c r="F12" s="89">
        <v>161</v>
      </c>
      <c r="G12" s="27">
        <v>137</v>
      </c>
      <c r="H12" s="21">
        <f t="shared" ref="H12:H22" si="7">IF(OR(G12="",F12=0),"",G12-F12)</f>
        <v>-24</v>
      </c>
      <c r="I12" s="60">
        <f t="shared" si="1"/>
        <v>-0.14906832298136646</v>
      </c>
      <c r="J12" s="89">
        <v>1263</v>
      </c>
      <c r="K12" s="27">
        <v>981</v>
      </c>
      <c r="L12" s="21">
        <f t="shared" ref="L12:L22" si="8">IF(OR(K12="",J12=0),"",K12-J12)</f>
        <v>-282</v>
      </c>
      <c r="M12" s="58">
        <f t="shared" si="2"/>
        <v>-0.22327790973871733</v>
      </c>
      <c r="N12" s="33">
        <f t="shared" si="3"/>
        <v>2016</v>
      </c>
      <c r="O12" s="30">
        <f t="shared" si="4"/>
        <v>1873</v>
      </c>
      <c r="P12" s="21">
        <f t="shared" ref="P12:P22" si="9">IF(OR(O12="",N12=0),"",O12-N12)</f>
        <v>-143</v>
      </c>
      <c r="Q12" s="58">
        <f t="shared" si="5"/>
        <v>-7.093253968253968E-2</v>
      </c>
    </row>
    <row r="13" spans="1:17" ht="11.25" customHeight="1" x14ac:dyDescent="0.2">
      <c r="A13" s="87" t="s">
        <v>8</v>
      </c>
      <c r="B13" s="90">
        <v>559</v>
      </c>
      <c r="C13" s="28">
        <v>909</v>
      </c>
      <c r="D13" s="22">
        <f t="shared" si="6"/>
        <v>350</v>
      </c>
      <c r="E13" s="61">
        <f t="shared" si="0"/>
        <v>0.62611806797853309</v>
      </c>
      <c r="F13" s="90">
        <v>152</v>
      </c>
      <c r="G13" s="28">
        <v>185</v>
      </c>
      <c r="H13" s="22">
        <f t="shared" si="7"/>
        <v>33</v>
      </c>
      <c r="I13" s="61">
        <f t="shared" si="1"/>
        <v>0.21710526315789475</v>
      </c>
      <c r="J13" s="90">
        <v>1398</v>
      </c>
      <c r="K13" s="28">
        <v>1321</v>
      </c>
      <c r="L13" s="22">
        <f t="shared" si="8"/>
        <v>-77</v>
      </c>
      <c r="M13" s="59">
        <f t="shared" si="2"/>
        <v>-5.5078683834048639E-2</v>
      </c>
      <c r="N13" s="35">
        <f t="shared" si="3"/>
        <v>2109</v>
      </c>
      <c r="O13" s="31">
        <f t="shared" si="4"/>
        <v>2415</v>
      </c>
      <c r="P13" s="22">
        <f t="shared" si="9"/>
        <v>306</v>
      </c>
      <c r="Q13" s="59">
        <f t="shared" si="5"/>
        <v>0.14509246088193456</v>
      </c>
    </row>
    <row r="14" spans="1:17" ht="11.25" customHeight="1" x14ac:dyDescent="0.2">
      <c r="A14" s="20" t="s">
        <v>9</v>
      </c>
      <c r="B14" s="89">
        <v>758</v>
      </c>
      <c r="C14" s="27">
        <v>1039</v>
      </c>
      <c r="D14" s="21">
        <f t="shared" si="6"/>
        <v>281</v>
      </c>
      <c r="E14" s="60">
        <f t="shared" si="0"/>
        <v>0.37071240105540898</v>
      </c>
      <c r="F14" s="89">
        <v>166</v>
      </c>
      <c r="G14" s="27">
        <v>171</v>
      </c>
      <c r="H14" s="21">
        <f t="shared" si="7"/>
        <v>5</v>
      </c>
      <c r="I14" s="60">
        <f t="shared" si="1"/>
        <v>3.0120481927710843E-2</v>
      </c>
      <c r="J14" s="89">
        <v>1408</v>
      </c>
      <c r="K14" s="27">
        <v>1129</v>
      </c>
      <c r="L14" s="21">
        <f t="shared" si="8"/>
        <v>-279</v>
      </c>
      <c r="M14" s="58">
        <f t="shared" si="2"/>
        <v>-0.19815340909090909</v>
      </c>
      <c r="N14" s="33">
        <f t="shared" si="3"/>
        <v>2332</v>
      </c>
      <c r="O14" s="30">
        <f t="shared" si="4"/>
        <v>2339</v>
      </c>
      <c r="P14" s="21">
        <f t="shared" si="9"/>
        <v>7</v>
      </c>
      <c r="Q14" s="58">
        <f t="shared" si="5"/>
        <v>3.0017152658662091E-3</v>
      </c>
    </row>
    <row r="15" spans="1:17" ht="11.25" customHeight="1" x14ac:dyDescent="0.2">
      <c r="A15" s="20" t="s">
        <v>10</v>
      </c>
      <c r="B15" s="89">
        <v>628</v>
      </c>
      <c r="C15" s="27">
        <v>862</v>
      </c>
      <c r="D15" s="21">
        <f t="shared" si="6"/>
        <v>234</v>
      </c>
      <c r="E15" s="60">
        <f t="shared" si="0"/>
        <v>0.37261146496815284</v>
      </c>
      <c r="F15" s="89">
        <v>144</v>
      </c>
      <c r="G15" s="27">
        <v>168</v>
      </c>
      <c r="H15" s="21">
        <f t="shared" si="7"/>
        <v>24</v>
      </c>
      <c r="I15" s="60">
        <f t="shared" si="1"/>
        <v>0.16666666666666666</v>
      </c>
      <c r="J15" s="89">
        <v>1353</v>
      </c>
      <c r="K15" s="27">
        <v>1258</v>
      </c>
      <c r="L15" s="21">
        <f t="shared" si="8"/>
        <v>-95</v>
      </c>
      <c r="M15" s="58">
        <f t="shared" si="2"/>
        <v>-7.021433850702144E-2</v>
      </c>
      <c r="N15" s="33">
        <f t="shared" si="3"/>
        <v>2125</v>
      </c>
      <c r="O15" s="30">
        <f t="shared" si="4"/>
        <v>2288</v>
      </c>
      <c r="P15" s="21">
        <f t="shared" si="9"/>
        <v>163</v>
      </c>
      <c r="Q15" s="58">
        <f t="shared" si="5"/>
        <v>7.6705882352941179E-2</v>
      </c>
    </row>
    <row r="16" spans="1:17" ht="11.25" customHeight="1" x14ac:dyDescent="0.2">
      <c r="A16" s="87" t="s">
        <v>11</v>
      </c>
      <c r="B16" s="90">
        <v>712</v>
      </c>
      <c r="C16" s="28">
        <v>894</v>
      </c>
      <c r="D16" s="22">
        <f t="shared" si="6"/>
        <v>182</v>
      </c>
      <c r="E16" s="61">
        <f t="shared" si="0"/>
        <v>0.2556179775280899</v>
      </c>
      <c r="F16" s="90">
        <v>179</v>
      </c>
      <c r="G16" s="28">
        <v>242</v>
      </c>
      <c r="H16" s="22">
        <f t="shared" si="7"/>
        <v>63</v>
      </c>
      <c r="I16" s="61">
        <f t="shared" si="1"/>
        <v>0.35195530726256985</v>
      </c>
      <c r="J16" s="90">
        <v>1571</v>
      </c>
      <c r="K16" s="28">
        <v>1406</v>
      </c>
      <c r="L16" s="22">
        <f t="shared" si="8"/>
        <v>-165</v>
      </c>
      <c r="M16" s="59">
        <f t="shared" si="2"/>
        <v>-0.10502864417568428</v>
      </c>
      <c r="N16" s="35">
        <f t="shared" si="3"/>
        <v>2462</v>
      </c>
      <c r="O16" s="31">
        <f t="shared" si="4"/>
        <v>2542</v>
      </c>
      <c r="P16" s="22">
        <f t="shared" si="9"/>
        <v>80</v>
      </c>
      <c r="Q16" s="59">
        <f t="shared" si="5"/>
        <v>3.2493907392363928E-2</v>
      </c>
    </row>
    <row r="17" spans="1:21" ht="11.25" customHeight="1" x14ac:dyDescent="0.2">
      <c r="A17" s="20" t="s">
        <v>12</v>
      </c>
      <c r="B17" s="89">
        <v>612</v>
      </c>
      <c r="C17" s="27">
        <v>758</v>
      </c>
      <c r="D17" s="21">
        <f t="shared" si="6"/>
        <v>146</v>
      </c>
      <c r="E17" s="60">
        <f t="shared" si="0"/>
        <v>0.23856209150326799</v>
      </c>
      <c r="F17" s="89">
        <v>157</v>
      </c>
      <c r="G17" s="27">
        <v>179</v>
      </c>
      <c r="H17" s="21">
        <f t="shared" si="7"/>
        <v>22</v>
      </c>
      <c r="I17" s="60">
        <f t="shared" si="1"/>
        <v>0.14012738853503184</v>
      </c>
      <c r="J17" s="89">
        <v>1105</v>
      </c>
      <c r="K17" s="27">
        <v>1079</v>
      </c>
      <c r="L17" s="21">
        <f t="shared" si="8"/>
        <v>-26</v>
      </c>
      <c r="M17" s="58">
        <f t="shared" si="2"/>
        <v>-2.3529411764705882E-2</v>
      </c>
      <c r="N17" s="33">
        <f t="shared" si="3"/>
        <v>1874</v>
      </c>
      <c r="O17" s="30">
        <f t="shared" si="4"/>
        <v>2016</v>
      </c>
      <c r="P17" s="21">
        <f t="shared" si="9"/>
        <v>142</v>
      </c>
      <c r="Q17" s="58">
        <f t="shared" si="5"/>
        <v>7.577374599786553E-2</v>
      </c>
    </row>
    <row r="18" spans="1:21" ht="11.25" customHeight="1" x14ac:dyDescent="0.2">
      <c r="A18" s="20" t="s">
        <v>13</v>
      </c>
      <c r="B18" s="89">
        <v>481</v>
      </c>
      <c r="C18" s="27">
        <v>593</v>
      </c>
      <c r="D18" s="21">
        <f t="shared" si="6"/>
        <v>112</v>
      </c>
      <c r="E18" s="60">
        <f t="shared" si="0"/>
        <v>0.23284823284823286</v>
      </c>
      <c r="F18" s="89">
        <v>116</v>
      </c>
      <c r="G18" s="27">
        <v>167</v>
      </c>
      <c r="H18" s="21">
        <f t="shared" si="7"/>
        <v>51</v>
      </c>
      <c r="I18" s="60">
        <f t="shared" si="1"/>
        <v>0.43965517241379309</v>
      </c>
      <c r="J18" s="89">
        <v>938</v>
      </c>
      <c r="K18" s="27">
        <v>1043</v>
      </c>
      <c r="L18" s="21">
        <f t="shared" si="8"/>
        <v>105</v>
      </c>
      <c r="M18" s="58">
        <f t="shared" si="2"/>
        <v>0.11194029850746269</v>
      </c>
      <c r="N18" s="33">
        <f t="shared" si="3"/>
        <v>1535</v>
      </c>
      <c r="O18" s="30">
        <f t="shared" si="4"/>
        <v>1803</v>
      </c>
      <c r="P18" s="21">
        <f t="shared" si="9"/>
        <v>268</v>
      </c>
      <c r="Q18" s="58">
        <f t="shared" si="5"/>
        <v>0.17459283387622149</v>
      </c>
    </row>
    <row r="19" spans="1:21" ht="11.25" customHeight="1" x14ac:dyDescent="0.2">
      <c r="A19" s="87" t="s">
        <v>14</v>
      </c>
      <c r="B19" s="90">
        <v>678</v>
      </c>
      <c r="C19" s="28">
        <v>663</v>
      </c>
      <c r="D19" s="22">
        <f t="shared" si="6"/>
        <v>-15</v>
      </c>
      <c r="E19" s="61">
        <f t="shared" si="0"/>
        <v>-2.2123893805309734E-2</v>
      </c>
      <c r="F19" s="90">
        <v>163</v>
      </c>
      <c r="G19" s="28">
        <v>189</v>
      </c>
      <c r="H19" s="22">
        <f t="shared" si="7"/>
        <v>26</v>
      </c>
      <c r="I19" s="61">
        <f t="shared" si="1"/>
        <v>0.15950920245398773</v>
      </c>
      <c r="J19" s="90">
        <v>1474</v>
      </c>
      <c r="K19" s="28">
        <v>1648</v>
      </c>
      <c r="L19" s="22">
        <f t="shared" si="8"/>
        <v>174</v>
      </c>
      <c r="M19" s="59">
        <f t="shared" si="2"/>
        <v>0.11804613297150611</v>
      </c>
      <c r="N19" s="35">
        <f t="shared" si="3"/>
        <v>2315</v>
      </c>
      <c r="O19" s="31">
        <f t="shared" si="4"/>
        <v>2500</v>
      </c>
      <c r="P19" s="22">
        <f t="shared" si="9"/>
        <v>185</v>
      </c>
      <c r="Q19" s="59">
        <f t="shared" si="5"/>
        <v>7.9913606911447083E-2</v>
      </c>
    </row>
    <row r="20" spans="1:21" ht="11.25" customHeight="1" x14ac:dyDescent="0.2">
      <c r="A20" s="20" t="s">
        <v>15</v>
      </c>
      <c r="B20" s="89">
        <v>759</v>
      </c>
      <c r="C20" s="27"/>
      <c r="D20" s="21" t="str">
        <f t="shared" si="6"/>
        <v/>
      </c>
      <c r="E20" s="60" t="str">
        <f t="shared" si="0"/>
        <v/>
      </c>
      <c r="F20" s="89">
        <v>130</v>
      </c>
      <c r="G20" s="27"/>
      <c r="H20" s="21" t="str">
        <f t="shared" si="7"/>
        <v/>
      </c>
      <c r="I20" s="60" t="str">
        <f t="shared" si="1"/>
        <v/>
      </c>
      <c r="J20" s="89">
        <v>1205</v>
      </c>
      <c r="K20" s="27"/>
      <c r="L20" s="21" t="str">
        <f t="shared" si="8"/>
        <v/>
      </c>
      <c r="M20" s="58" t="str">
        <f t="shared" si="2"/>
        <v/>
      </c>
      <c r="N20" s="33">
        <f t="shared" si="3"/>
        <v>2094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21" ht="11.25" customHeight="1" x14ac:dyDescent="0.2">
      <c r="A21" s="20" t="s">
        <v>16</v>
      </c>
      <c r="B21" s="89">
        <v>684</v>
      </c>
      <c r="C21" s="27"/>
      <c r="D21" s="21" t="str">
        <f t="shared" si="6"/>
        <v/>
      </c>
      <c r="E21" s="60" t="str">
        <f t="shared" si="0"/>
        <v/>
      </c>
      <c r="F21" s="89">
        <v>140</v>
      </c>
      <c r="G21" s="27"/>
      <c r="H21" s="21" t="str">
        <f t="shared" si="7"/>
        <v/>
      </c>
      <c r="I21" s="60" t="str">
        <f t="shared" si="1"/>
        <v/>
      </c>
      <c r="J21" s="89">
        <v>1145</v>
      </c>
      <c r="K21" s="27"/>
      <c r="L21" s="21" t="str">
        <f t="shared" si="8"/>
        <v/>
      </c>
      <c r="M21" s="58" t="str">
        <f t="shared" si="2"/>
        <v/>
      </c>
      <c r="N21" s="33">
        <f t="shared" si="3"/>
        <v>1969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21" ht="11.25" customHeight="1" thickBot="1" x14ac:dyDescent="0.25">
      <c r="A22" s="23" t="s">
        <v>17</v>
      </c>
      <c r="B22" s="91">
        <v>672</v>
      </c>
      <c r="C22" s="29"/>
      <c r="D22" s="21" t="str">
        <f t="shared" si="6"/>
        <v/>
      </c>
      <c r="E22" s="88" t="str">
        <f t="shared" si="0"/>
        <v/>
      </c>
      <c r="F22" s="91">
        <v>146</v>
      </c>
      <c r="G22" s="29"/>
      <c r="H22" s="21" t="str">
        <f t="shared" si="7"/>
        <v/>
      </c>
      <c r="I22" s="88" t="str">
        <f t="shared" si="1"/>
        <v/>
      </c>
      <c r="J22" s="91">
        <v>886</v>
      </c>
      <c r="K22" s="29"/>
      <c r="L22" s="21" t="str">
        <f t="shared" si="8"/>
        <v/>
      </c>
      <c r="M22" s="52" t="str">
        <f t="shared" si="2"/>
        <v/>
      </c>
      <c r="N22" s="34">
        <f t="shared" si="3"/>
        <v>1704</v>
      </c>
      <c r="O22" s="32" t="str">
        <f t="shared" si="4"/>
        <v/>
      </c>
      <c r="P22" s="21" t="str">
        <f t="shared" si="9"/>
        <v/>
      </c>
      <c r="Q22" s="52" t="str">
        <f t="shared" si="5"/>
        <v/>
      </c>
    </row>
    <row r="23" spans="1:21" ht="11.25" customHeight="1" thickBot="1" x14ac:dyDescent="0.25">
      <c r="A23" s="39" t="s">
        <v>3</v>
      </c>
      <c r="B23" s="36">
        <f>IF(C17="",B24,B25)</f>
        <v>5589</v>
      </c>
      <c r="C23" s="37">
        <f>IF(C11="","",SUM(C11:C22))</f>
        <v>7117</v>
      </c>
      <c r="D23" s="38">
        <f>IF(C11="","",SUM(D11:D22))</f>
        <v>1528</v>
      </c>
      <c r="E23" s="53">
        <f t="shared" si="0"/>
        <v>0.27339416711397385</v>
      </c>
      <c r="F23" s="36">
        <f>IF(G17="",F24,F25)</f>
        <v>1398</v>
      </c>
      <c r="G23" s="37">
        <f>IF(G11="","",SUM(G11:G22))</f>
        <v>1564</v>
      </c>
      <c r="H23" s="38">
        <f>IF(G11="","",SUM(H11:H22))</f>
        <v>166</v>
      </c>
      <c r="I23" s="53">
        <f t="shared" si="1"/>
        <v>0.11874105865522175</v>
      </c>
      <c r="J23" s="36">
        <f>IF(K17="",J24,J25)</f>
        <v>11325</v>
      </c>
      <c r="K23" s="37">
        <f>IF(K11="","",SUM(K11:K22))</f>
        <v>10825</v>
      </c>
      <c r="L23" s="38">
        <f>IF(K11="","",SUM(L11:L22))</f>
        <v>-500</v>
      </c>
      <c r="M23" s="53">
        <f t="shared" si="2"/>
        <v>-4.4150110375275942E-2</v>
      </c>
      <c r="N23" s="36">
        <f>IF(O17="",N24,N25)</f>
        <v>18312</v>
      </c>
      <c r="O23" s="37">
        <f>IF(O11="","",SUM(O11:O22))</f>
        <v>19506</v>
      </c>
      <c r="P23" s="38">
        <f>IF(O11="","",SUM(P11:P22))</f>
        <v>1194</v>
      </c>
      <c r="Q23" s="53">
        <f t="shared" si="5"/>
        <v>6.520314547837483E-2</v>
      </c>
    </row>
    <row r="24" spans="1:21" ht="11.25" customHeight="1" x14ac:dyDescent="0.2">
      <c r="A24" s="102" t="s">
        <v>28</v>
      </c>
      <c r="B24" s="103">
        <f>IF(C16&lt;&gt;"",SUM(B11:B16),IF(C15&lt;&gt;"",SUM(B11:B15),IF(C14&lt;&gt;"",SUM(B11:B14),IF(C13&lt;&gt;"",SUM(B11:B13),IF(C12&lt;&gt;"",SUM(B11:B12),B11)))))</f>
        <v>3818</v>
      </c>
      <c r="C24" s="103">
        <f>COUNTIF(C11:C22,"&gt;0")</f>
        <v>9</v>
      </c>
      <c r="D24" s="103"/>
      <c r="E24" s="104"/>
      <c r="F24" s="103">
        <f>IF(G16&lt;&gt;"",SUM(F11:F16),IF(G15&lt;&gt;"",SUM(F11:F15),IF(G14&lt;&gt;"",SUM(F11:F14),IF(G13&lt;&gt;"",SUM(F11:F13),IF(G12&lt;&gt;"",SUM(F11:F12),F11)))))</f>
        <v>962</v>
      </c>
      <c r="G24" s="103">
        <f>COUNTIF(G11:G22,"&gt;0")</f>
        <v>9</v>
      </c>
      <c r="H24" s="103"/>
      <c r="I24" s="104"/>
      <c r="J24" s="103">
        <f>IF(K16&lt;&gt;"",SUM(J11:J16),IF(K15&lt;&gt;"",SUM(J11:J15),IF(K14&lt;&gt;"",SUM(J11:J14),IF(K13&lt;&gt;"",SUM(J11:J13),IF(K12&lt;&gt;"",SUM(J11:J12),J11)))))</f>
        <v>7808</v>
      </c>
      <c r="K24" s="103">
        <f>COUNTIF(K11:K22,"&gt;0")</f>
        <v>9</v>
      </c>
      <c r="L24" s="103"/>
      <c r="M24" s="104"/>
      <c r="N24" s="103">
        <f>IF(O16&lt;&gt;"",SUM(N11:N16),IF(O15&lt;&gt;"",SUM(N11:N15),IF(O14&lt;&gt;"",SUM(N11:N14),IF(O13&lt;&gt;"",SUM(N11:N13),IF(O12&lt;&gt;"",SUM(N11:N12),N11)))))</f>
        <v>12588</v>
      </c>
      <c r="O24" s="103">
        <f>COUNTIF(O11:O22,"&gt;0")</f>
        <v>9</v>
      </c>
      <c r="P24" s="103"/>
      <c r="Q24" s="104"/>
      <c r="R24" s="105"/>
      <c r="S24" s="105"/>
    </row>
    <row r="25" spans="1:21" ht="11.25" customHeight="1" x14ac:dyDescent="0.2">
      <c r="B25" s="76">
        <f>IF(C22&lt;&gt;"",SUM(B11:B22),IF(C21&lt;&gt;"",SUM(B11:B21),IF(C20&lt;&gt;"",SUM(B11:B20),IF(C19&lt;&gt;"",SUM(B11:B19),IF(C18&lt;&gt;"",SUM(B11:B18),SUM(B11:B17))))))</f>
        <v>5589</v>
      </c>
      <c r="F25" s="76">
        <f>IF(G22&lt;&gt;"",SUM(F11:F22),IF(G21&lt;&gt;"",SUM(F11:F21),IF(G20&lt;&gt;"",SUM(F11:F20),IF(G19&lt;&gt;"",SUM(F11:F19),IF(G18&lt;&gt;"",SUM(F11:F18),SUM(F11:F17))))))</f>
        <v>1398</v>
      </c>
      <c r="J25" s="76">
        <f>IF(K22&lt;&gt;"",SUM(J11:J22),IF(K21&lt;&gt;"",SUM(J11:J21),IF(K20&lt;&gt;"",SUM(J11:J20),IF(K19&lt;&gt;"",SUM(J11:J19),IF(K18&lt;&gt;"",SUM(J11:J18),SUM(J11:J17))))))</f>
        <v>11325</v>
      </c>
      <c r="N25" s="76">
        <f>IF(O22&lt;&gt;"",SUM(N11:N22),IF(O21&lt;&gt;"",SUM(N11:N21),IF(O20&lt;&gt;"",SUM(N11:N20),IF(O19&lt;&gt;"",SUM(N11:N19),IF(O18&lt;&gt;"",SUM(N11:N18),SUM(N11:N17))))))</f>
        <v>18312</v>
      </c>
    </row>
    <row r="26" spans="1:21" ht="11.25" customHeight="1" x14ac:dyDescent="0.2">
      <c r="A26" s="7"/>
      <c r="B26" s="117" t="s">
        <v>22</v>
      </c>
      <c r="C26" s="143"/>
      <c r="D26" s="143"/>
      <c r="E26" s="143"/>
      <c r="F26" s="9"/>
    </row>
    <row r="27" spans="1:21" ht="11.25" customHeight="1" thickBot="1" x14ac:dyDescent="0.25">
      <c r="B27" s="144"/>
      <c r="C27" s="144"/>
      <c r="D27" s="144"/>
      <c r="E27" s="144"/>
    </row>
    <row r="28" spans="1:21" ht="11.25" customHeight="1" thickBot="1" x14ac:dyDescent="0.25">
      <c r="A28" s="25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</row>
    <row r="30" spans="1:21" ht="11.25" customHeight="1" thickBot="1" x14ac:dyDescent="0.25">
      <c r="A30" s="74" t="s">
        <v>24</v>
      </c>
      <c r="B30" s="11">
        <f>T43</f>
        <v>189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1" t="s">
        <v>23</v>
      </c>
      <c r="S30" s="142"/>
    </row>
    <row r="31" spans="1:21" ht="11.25" customHeight="1" x14ac:dyDescent="0.2">
      <c r="A31" s="20" t="s">
        <v>6</v>
      </c>
      <c r="B31" s="65">
        <f t="shared" ref="B31:B42" si="10">IF(C11="","",B11/$R31)</f>
        <v>27.095238095238095</v>
      </c>
      <c r="C31" s="68">
        <f t="shared" ref="C31:C42" si="11">IF(C11="","",C11/$S31)</f>
        <v>29.272727272727273</v>
      </c>
      <c r="D31" s="64">
        <f>IF(OR(C31="",B31=0),"",C31-B31)</f>
        <v>2.1774891774891785</v>
      </c>
      <c r="E31" s="60">
        <f>IF(D31="","",(C31-B31)/ABS(B31))</f>
        <v>8.0364275443361596E-2</v>
      </c>
      <c r="F31" s="65">
        <f t="shared" ref="F31:F42" si="12">IF(G11="","",F11/$R31)</f>
        <v>7.6190476190476186</v>
      </c>
      <c r="G31" s="68">
        <f t="shared" ref="G31:G42" si="13">IF(G11="","",G11/$S31)</f>
        <v>5.7272727272727275</v>
      </c>
      <c r="H31" s="80">
        <f>IF(OR(G31="",F31=0),"",G31-F31)</f>
        <v>-1.8917748917748911</v>
      </c>
      <c r="I31" s="60">
        <f>IF(H31="","",(G31-F31)/ABS(F31))</f>
        <v>-0.24829545454545446</v>
      </c>
      <c r="J31" s="65">
        <f t="shared" ref="J31:J42" si="14">IF(K11="","",J11/$R31)</f>
        <v>38.80952380952381</v>
      </c>
      <c r="K31" s="68">
        <f t="shared" ref="K31:K42" si="15">IF(K11="","",K11/$S31)</f>
        <v>43.636363636363633</v>
      </c>
      <c r="L31" s="80">
        <f>IF(OR(K31="",J31=0),"",K31-J31)</f>
        <v>4.8268398268398229</v>
      </c>
      <c r="M31" s="60">
        <f>IF(L31="","",(K31-J31)/ABS(J31))</f>
        <v>0.12437255995538193</v>
      </c>
      <c r="N31" s="65">
        <f t="shared" ref="N31:N42" si="16">IF(O11="","",N11/$R31)</f>
        <v>73.523809523809518</v>
      </c>
      <c r="O31" s="68">
        <f t="shared" ref="O31:O42" si="17">IF(O11="","",O11/$S31)</f>
        <v>78.63636363636364</v>
      </c>
      <c r="P31" s="80">
        <f>IF(OR(O31="",N31=0),"",O31-N31)</f>
        <v>5.1125541125541218</v>
      </c>
      <c r="Q31" s="58">
        <f>IF(P31="","",(O31-N31)/ABS(N31))</f>
        <v>6.9536033914272391E-2</v>
      </c>
      <c r="R31" s="56">
        <v>21</v>
      </c>
      <c r="S31" s="56">
        <v>22</v>
      </c>
      <c r="T31" s="77">
        <f>IF(OR(N31="",N31=0),"",R31)</f>
        <v>21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si="10"/>
        <v>29.6</v>
      </c>
      <c r="C32" s="68">
        <f t="shared" si="11"/>
        <v>37.75</v>
      </c>
      <c r="D32" s="64">
        <f t="shared" ref="D32:D42" si="18">IF(OR(C32="",B32=0),"",C32-B32)</f>
        <v>8.1499999999999986</v>
      </c>
      <c r="E32" s="60">
        <f t="shared" ref="E32:E42" si="19">IF(D32="","",(C32-B32)/ABS(B32))</f>
        <v>0.27533783783783777</v>
      </c>
      <c r="F32" s="65">
        <f t="shared" si="12"/>
        <v>8.0500000000000007</v>
      </c>
      <c r="G32" s="68">
        <f t="shared" si="13"/>
        <v>6.85</v>
      </c>
      <c r="H32" s="80">
        <f t="shared" ref="H32:H42" si="20">IF(OR(G32="",F32=0),"",G32-F32)</f>
        <v>-1.2000000000000011</v>
      </c>
      <c r="I32" s="60">
        <f t="shared" ref="I32:I42" si="21">IF(H32="","",(G32-F32)/ABS(F32))</f>
        <v>-0.14906832298136657</v>
      </c>
      <c r="J32" s="65">
        <f t="shared" si="14"/>
        <v>63.15</v>
      </c>
      <c r="K32" s="68">
        <f t="shared" si="15"/>
        <v>49.05</v>
      </c>
      <c r="L32" s="80">
        <f t="shared" ref="L32:L42" si="22">IF(OR(K32="",J32=0),"",K32-J32)</f>
        <v>-14.100000000000001</v>
      </c>
      <c r="M32" s="60">
        <f t="shared" ref="M32:M42" si="23">IF(L32="","",(K32-J32)/ABS(J32))</f>
        <v>-0.22327790973871736</v>
      </c>
      <c r="N32" s="65">
        <f t="shared" si="16"/>
        <v>100.8</v>
      </c>
      <c r="O32" s="68">
        <f t="shared" si="17"/>
        <v>93.65</v>
      </c>
      <c r="P32" s="80">
        <f t="shared" ref="P32:P42" si="24">IF(OR(O32="",N32=0),"",O32-N32)</f>
        <v>-7.1499999999999915</v>
      </c>
      <c r="Q32" s="58">
        <f t="shared" ref="Q32:Q42" si="25">IF(P32="","",(O32-N32)/ABS(N32))</f>
        <v>-7.0932539682539597E-2</v>
      </c>
      <c r="R32" s="56">
        <v>20</v>
      </c>
      <c r="S32" s="56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41" t="s">
        <v>8</v>
      </c>
      <c r="B33" s="66">
        <f t="shared" si="10"/>
        <v>25.40909090909091</v>
      </c>
      <c r="C33" s="69">
        <f t="shared" si="11"/>
        <v>39.521739130434781</v>
      </c>
      <c r="D33" s="71">
        <f t="shared" si="18"/>
        <v>14.112648221343871</v>
      </c>
      <c r="E33" s="61">
        <f t="shared" si="19"/>
        <v>0.55541728241424893</v>
      </c>
      <c r="F33" s="66">
        <f t="shared" si="12"/>
        <v>6.9090909090909092</v>
      </c>
      <c r="G33" s="69">
        <f t="shared" si="13"/>
        <v>8.0434782608695645</v>
      </c>
      <c r="H33" s="81">
        <f t="shared" si="20"/>
        <v>1.1343873517786554</v>
      </c>
      <c r="I33" s="61">
        <f t="shared" si="21"/>
        <v>0.16418764302059485</v>
      </c>
      <c r="J33" s="66">
        <f t="shared" si="14"/>
        <v>63.545454545454547</v>
      </c>
      <c r="K33" s="69">
        <f t="shared" si="15"/>
        <v>57.434782608695649</v>
      </c>
      <c r="L33" s="81">
        <f t="shared" si="22"/>
        <v>-6.110671936758898</v>
      </c>
      <c r="M33" s="61">
        <f t="shared" si="23"/>
        <v>-9.6162219319524858E-2</v>
      </c>
      <c r="N33" s="66">
        <f t="shared" si="16"/>
        <v>95.86363636363636</v>
      </c>
      <c r="O33" s="69">
        <f t="shared" si="17"/>
        <v>105</v>
      </c>
      <c r="P33" s="81">
        <f t="shared" si="24"/>
        <v>9.1363636363636402</v>
      </c>
      <c r="Q33" s="59">
        <f t="shared" si="25"/>
        <v>9.5305832147937461E-2</v>
      </c>
      <c r="R33" s="85">
        <v>22</v>
      </c>
      <c r="S33" s="85">
        <v>23</v>
      </c>
      <c r="T33" s="77">
        <f t="shared" si="26"/>
        <v>22</v>
      </c>
      <c r="U33" s="77">
        <f t="shared" si="26"/>
        <v>23</v>
      </c>
    </row>
    <row r="34" spans="1:21" ht="11.25" customHeight="1" x14ac:dyDescent="0.2">
      <c r="A34" s="20" t="s">
        <v>9</v>
      </c>
      <c r="B34" s="65">
        <f t="shared" si="10"/>
        <v>37.9</v>
      </c>
      <c r="C34" s="68">
        <f t="shared" si="11"/>
        <v>57.722222222222221</v>
      </c>
      <c r="D34" s="64">
        <f t="shared" si="18"/>
        <v>19.822222222222223</v>
      </c>
      <c r="E34" s="60">
        <f t="shared" si="19"/>
        <v>0.52301377895045442</v>
      </c>
      <c r="F34" s="65">
        <f t="shared" si="12"/>
        <v>8.3000000000000007</v>
      </c>
      <c r="G34" s="68">
        <f t="shared" si="13"/>
        <v>9.5</v>
      </c>
      <c r="H34" s="80">
        <f t="shared" si="20"/>
        <v>1.1999999999999993</v>
      </c>
      <c r="I34" s="60">
        <f t="shared" si="21"/>
        <v>0.14457831325301196</v>
      </c>
      <c r="J34" s="65">
        <f t="shared" si="14"/>
        <v>70.400000000000006</v>
      </c>
      <c r="K34" s="68">
        <f t="shared" si="15"/>
        <v>62.722222222222221</v>
      </c>
      <c r="L34" s="80">
        <f t="shared" si="22"/>
        <v>-7.6777777777777843</v>
      </c>
      <c r="M34" s="60">
        <f t="shared" si="23"/>
        <v>-0.10905934343434352</v>
      </c>
      <c r="N34" s="65">
        <f t="shared" si="16"/>
        <v>116.6</v>
      </c>
      <c r="O34" s="68">
        <f t="shared" si="17"/>
        <v>129.94444444444446</v>
      </c>
      <c r="P34" s="80">
        <f t="shared" si="24"/>
        <v>13.344444444444463</v>
      </c>
      <c r="Q34" s="58">
        <f t="shared" si="25"/>
        <v>0.11444635029540706</v>
      </c>
      <c r="R34" s="56">
        <v>20</v>
      </c>
      <c r="S34" s="56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10</v>
      </c>
      <c r="B35" s="65">
        <f t="shared" si="10"/>
        <v>34.888888888888886</v>
      </c>
      <c r="C35" s="68">
        <f t="shared" si="11"/>
        <v>41.047619047619051</v>
      </c>
      <c r="D35" s="64">
        <f t="shared" si="18"/>
        <v>6.1587301587301653</v>
      </c>
      <c r="E35" s="60">
        <f t="shared" si="19"/>
        <v>0.17652411282984551</v>
      </c>
      <c r="F35" s="65">
        <f t="shared" si="12"/>
        <v>8</v>
      </c>
      <c r="G35" s="68">
        <f t="shared" si="13"/>
        <v>8</v>
      </c>
      <c r="H35" s="80">
        <f t="shared" si="20"/>
        <v>0</v>
      </c>
      <c r="I35" s="60">
        <f t="shared" si="21"/>
        <v>0</v>
      </c>
      <c r="J35" s="65">
        <f t="shared" si="14"/>
        <v>75.166666666666671</v>
      </c>
      <c r="K35" s="68">
        <f t="shared" si="15"/>
        <v>59.904761904761905</v>
      </c>
      <c r="L35" s="80">
        <f t="shared" si="22"/>
        <v>-15.261904761904766</v>
      </c>
      <c r="M35" s="60">
        <f t="shared" si="23"/>
        <v>-0.203040861577447</v>
      </c>
      <c r="N35" s="65">
        <f t="shared" si="16"/>
        <v>118.05555555555556</v>
      </c>
      <c r="O35" s="68">
        <f t="shared" si="17"/>
        <v>108.95238095238095</v>
      </c>
      <c r="P35" s="80">
        <f t="shared" si="24"/>
        <v>-9.1031746031746081</v>
      </c>
      <c r="Q35" s="58">
        <f t="shared" si="25"/>
        <v>-7.7109243697479027E-2</v>
      </c>
      <c r="R35" s="56">
        <v>18</v>
      </c>
      <c r="S35" s="56">
        <v>21</v>
      </c>
      <c r="T35" s="77">
        <f t="shared" si="26"/>
        <v>18</v>
      </c>
      <c r="U35" s="77">
        <f t="shared" si="26"/>
        <v>21</v>
      </c>
    </row>
    <row r="36" spans="1:21" ht="11.25" customHeight="1" x14ac:dyDescent="0.2">
      <c r="A36" s="41" t="s">
        <v>11</v>
      </c>
      <c r="B36" s="66">
        <f t="shared" si="10"/>
        <v>32.363636363636367</v>
      </c>
      <c r="C36" s="69">
        <f t="shared" si="11"/>
        <v>40.636363636363633</v>
      </c>
      <c r="D36" s="71">
        <f t="shared" si="18"/>
        <v>8.2727272727272663</v>
      </c>
      <c r="E36" s="61">
        <f t="shared" si="19"/>
        <v>0.25561797752808968</v>
      </c>
      <c r="F36" s="66">
        <f t="shared" si="12"/>
        <v>8.1363636363636367</v>
      </c>
      <c r="G36" s="69">
        <f t="shared" si="13"/>
        <v>11</v>
      </c>
      <c r="H36" s="81">
        <f t="shared" si="20"/>
        <v>2.8636363636363633</v>
      </c>
      <c r="I36" s="61">
        <f t="shared" si="21"/>
        <v>0.35195530726256979</v>
      </c>
      <c r="J36" s="66">
        <f t="shared" si="14"/>
        <v>71.409090909090907</v>
      </c>
      <c r="K36" s="69">
        <f t="shared" si="15"/>
        <v>63.909090909090907</v>
      </c>
      <c r="L36" s="81">
        <f t="shared" si="22"/>
        <v>-7.5</v>
      </c>
      <c r="M36" s="61">
        <f t="shared" si="23"/>
        <v>-0.10502864417568428</v>
      </c>
      <c r="N36" s="66">
        <f t="shared" si="16"/>
        <v>111.90909090909091</v>
      </c>
      <c r="O36" s="69">
        <f t="shared" si="17"/>
        <v>115.54545454545455</v>
      </c>
      <c r="P36" s="81">
        <f t="shared" si="24"/>
        <v>3.6363636363636402</v>
      </c>
      <c r="Q36" s="59">
        <f t="shared" si="25"/>
        <v>3.249390739236397E-2</v>
      </c>
      <c r="R36" s="85">
        <v>22</v>
      </c>
      <c r="S36" s="85">
        <v>22</v>
      </c>
      <c r="T36" s="77">
        <f t="shared" si="26"/>
        <v>22</v>
      </c>
      <c r="U36" s="77">
        <f t="shared" si="26"/>
        <v>22</v>
      </c>
    </row>
    <row r="37" spans="1:21" ht="11.25" customHeight="1" x14ac:dyDescent="0.2">
      <c r="A37" s="20" t="s">
        <v>12</v>
      </c>
      <c r="B37" s="65">
        <f t="shared" si="10"/>
        <v>26.608695652173914</v>
      </c>
      <c r="C37" s="68">
        <f t="shared" si="11"/>
        <v>36.095238095238095</v>
      </c>
      <c r="D37" s="64">
        <f t="shared" si="18"/>
        <v>9.4865424430641809</v>
      </c>
      <c r="E37" s="60">
        <f t="shared" si="19"/>
        <v>0.35652038593215057</v>
      </c>
      <c r="F37" s="65">
        <f t="shared" si="12"/>
        <v>6.8260869565217392</v>
      </c>
      <c r="G37" s="68">
        <f t="shared" si="13"/>
        <v>8.5238095238095237</v>
      </c>
      <c r="H37" s="80">
        <f t="shared" si="20"/>
        <v>1.6977225672877845</v>
      </c>
      <c r="I37" s="60">
        <f t="shared" si="21"/>
        <v>0.24871094934789198</v>
      </c>
      <c r="J37" s="65">
        <f t="shared" si="14"/>
        <v>48.043478260869563</v>
      </c>
      <c r="K37" s="68">
        <f t="shared" si="15"/>
        <v>51.38095238095238</v>
      </c>
      <c r="L37" s="80">
        <f t="shared" si="22"/>
        <v>3.3374741200828169</v>
      </c>
      <c r="M37" s="60">
        <f t="shared" si="23"/>
        <v>6.9467787114845969E-2</v>
      </c>
      <c r="N37" s="65">
        <f t="shared" si="16"/>
        <v>81.478260869565219</v>
      </c>
      <c r="O37" s="68">
        <f t="shared" si="17"/>
        <v>96</v>
      </c>
      <c r="P37" s="80">
        <f t="shared" si="24"/>
        <v>14.521739130434781</v>
      </c>
      <c r="Q37" s="58">
        <f t="shared" si="25"/>
        <v>0.17822838847385269</v>
      </c>
      <c r="R37" s="56">
        <v>23</v>
      </c>
      <c r="S37" s="56">
        <v>21</v>
      </c>
      <c r="T37" s="77">
        <f t="shared" si="26"/>
        <v>23</v>
      </c>
      <c r="U37" s="77">
        <f t="shared" si="26"/>
        <v>21</v>
      </c>
    </row>
    <row r="38" spans="1:21" ht="11.25" customHeight="1" x14ac:dyDescent="0.2">
      <c r="A38" s="20" t="s">
        <v>13</v>
      </c>
      <c r="B38" s="65">
        <f t="shared" si="10"/>
        <v>22.904761904761905</v>
      </c>
      <c r="C38" s="68">
        <f t="shared" si="11"/>
        <v>26.954545454545453</v>
      </c>
      <c r="D38" s="64">
        <f t="shared" si="18"/>
        <v>4.0497835497835482</v>
      </c>
      <c r="E38" s="60">
        <f t="shared" si="19"/>
        <v>0.17680967680967674</v>
      </c>
      <c r="F38" s="65">
        <f t="shared" si="12"/>
        <v>5.5238095238095237</v>
      </c>
      <c r="G38" s="68">
        <f t="shared" si="13"/>
        <v>7.5909090909090908</v>
      </c>
      <c r="H38" s="80">
        <f t="shared" si="20"/>
        <v>2.0670995670995671</v>
      </c>
      <c r="I38" s="60">
        <f t="shared" si="21"/>
        <v>0.3742163009404389</v>
      </c>
      <c r="J38" s="65">
        <f t="shared" si="14"/>
        <v>44.666666666666664</v>
      </c>
      <c r="K38" s="68">
        <f t="shared" si="15"/>
        <v>47.409090909090907</v>
      </c>
      <c r="L38" s="80">
        <f t="shared" si="22"/>
        <v>2.7424242424242422</v>
      </c>
      <c r="M38" s="60">
        <f t="shared" si="23"/>
        <v>6.1397557666214381E-2</v>
      </c>
      <c r="N38" s="65">
        <f t="shared" si="16"/>
        <v>73.095238095238102</v>
      </c>
      <c r="O38" s="68">
        <f t="shared" si="17"/>
        <v>81.954545454545453</v>
      </c>
      <c r="P38" s="80">
        <f t="shared" si="24"/>
        <v>8.8593073593073512</v>
      </c>
      <c r="Q38" s="58">
        <f t="shared" si="25"/>
        <v>0.1212022505182113</v>
      </c>
      <c r="R38" s="56">
        <v>21</v>
      </c>
      <c r="S38" s="56">
        <v>22</v>
      </c>
      <c r="T38" s="77">
        <f t="shared" si="26"/>
        <v>21</v>
      </c>
      <c r="U38" s="77">
        <f t="shared" si="26"/>
        <v>22</v>
      </c>
    </row>
    <row r="39" spans="1:21" ht="11.25" customHeight="1" x14ac:dyDescent="0.2">
      <c r="A39" s="41" t="s">
        <v>14</v>
      </c>
      <c r="B39" s="66">
        <f t="shared" si="10"/>
        <v>30.818181818181817</v>
      </c>
      <c r="C39" s="69">
        <f t="shared" si="11"/>
        <v>31.571428571428573</v>
      </c>
      <c r="D39" s="71">
        <f t="shared" si="18"/>
        <v>0.75324675324675638</v>
      </c>
      <c r="E39" s="61">
        <f t="shared" si="19"/>
        <v>2.4441635061104191E-2</v>
      </c>
      <c r="F39" s="66">
        <f t="shared" si="12"/>
        <v>7.4090909090909092</v>
      </c>
      <c r="G39" s="69">
        <f t="shared" si="13"/>
        <v>9</v>
      </c>
      <c r="H39" s="81">
        <f t="shared" si="20"/>
        <v>1.5909090909090908</v>
      </c>
      <c r="I39" s="61">
        <f t="shared" si="21"/>
        <v>0.21472392638036808</v>
      </c>
      <c r="J39" s="66">
        <f t="shared" si="14"/>
        <v>67</v>
      </c>
      <c r="K39" s="69">
        <f t="shared" si="15"/>
        <v>78.476190476190482</v>
      </c>
      <c r="L39" s="81">
        <f t="shared" si="22"/>
        <v>11.476190476190482</v>
      </c>
      <c r="M39" s="61">
        <f t="shared" si="23"/>
        <v>0.17128642501776839</v>
      </c>
      <c r="N39" s="66">
        <f t="shared" si="16"/>
        <v>105.22727272727273</v>
      </c>
      <c r="O39" s="69">
        <f t="shared" si="17"/>
        <v>119.04761904761905</v>
      </c>
      <c r="P39" s="81">
        <f t="shared" si="24"/>
        <v>13.820346320346317</v>
      </c>
      <c r="Q39" s="59">
        <f t="shared" si="25"/>
        <v>0.13133806438342072</v>
      </c>
      <c r="R39" s="85">
        <v>22</v>
      </c>
      <c r="S39" s="85">
        <v>21</v>
      </c>
      <c r="T39" s="77">
        <f t="shared" si="26"/>
        <v>22</v>
      </c>
      <c r="U39" s="77">
        <f t="shared" si="26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6">
        <v>22</v>
      </c>
      <c r="S40" s="56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8"/>
        <v/>
      </c>
      <c r="E42" s="60" t="str">
        <f t="shared" si="19"/>
        <v/>
      </c>
      <c r="F42" s="65" t="str">
        <f t="shared" si="12"/>
        <v/>
      </c>
      <c r="G42" s="68" t="str">
        <f t="shared" si="13"/>
        <v/>
      </c>
      <c r="H42" s="80" t="str">
        <f t="shared" si="20"/>
        <v/>
      </c>
      <c r="I42" s="60" t="str">
        <f t="shared" si="21"/>
        <v/>
      </c>
      <c r="J42" s="65" t="str">
        <f t="shared" si="14"/>
        <v/>
      </c>
      <c r="K42" s="68" t="str">
        <f t="shared" si="15"/>
        <v/>
      </c>
      <c r="L42" s="80" t="str">
        <f t="shared" si="22"/>
        <v/>
      </c>
      <c r="M42" s="60" t="str">
        <f t="shared" si="23"/>
        <v/>
      </c>
      <c r="N42" s="65" t="str">
        <f t="shared" si="16"/>
        <v/>
      </c>
      <c r="O42" s="68" t="str">
        <f t="shared" si="17"/>
        <v/>
      </c>
      <c r="P42" s="80" t="str">
        <f t="shared" si="24"/>
        <v/>
      </c>
      <c r="Q42" s="58" t="str">
        <f t="shared" si="25"/>
        <v/>
      </c>
      <c r="R42" s="56">
        <v>22</v>
      </c>
      <c r="S42" s="56">
        <v>19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40" t="s">
        <v>29</v>
      </c>
      <c r="B43" s="67">
        <f>IF(B23=0,"",SUM(B31:B42)/B44)</f>
        <v>29.732054847996878</v>
      </c>
      <c r="C43" s="70">
        <f>IF(OR(C23=0,C23=""),"",SUM(C31:C42)/C44)</f>
        <v>37.84132038117545</v>
      </c>
      <c r="D43" s="62">
        <f>IF(B23=0,"",AVERAGE(D31:D42))</f>
        <v>8.1092655331785757</v>
      </c>
      <c r="E43" s="54">
        <f>IF(B23=0,"",AVERAGE(E31:E42))</f>
        <v>0.26933855142297436</v>
      </c>
      <c r="F43" s="67">
        <f>IF(F23=0,"",SUM(F31:F42)/F44)</f>
        <v>7.419276617102704</v>
      </c>
      <c r="G43" s="70">
        <f>IF(OR(G23=0,G23=""),"",SUM(G31:G42)/G44)</f>
        <v>8.2483855114289888</v>
      </c>
      <c r="H43" s="62">
        <f>IF(F23=0,"",AVERAGE(H31:H42))</f>
        <v>0.82910889432628532</v>
      </c>
      <c r="I43" s="54">
        <f>IF(F23=0,"",AVERAGE(I31:I42))</f>
        <v>0.12233429585311716</v>
      </c>
      <c r="J43" s="67">
        <f>IF(J23=0,"",SUM(J31:J42)/J44)</f>
        <v>60.243431206474689</v>
      </c>
      <c r="K43" s="70">
        <f>IF(OR(K23=0,K23=""),"",SUM(K31:K42)/K44)</f>
        <v>57.102606116374233</v>
      </c>
      <c r="L43" s="62">
        <f>IF(J23=0,"",AVERAGE(L31:L42))</f>
        <v>-3.1408250901004542</v>
      </c>
      <c r="M43" s="54">
        <f>IF(J23=0,"",AVERAGE(M31:M42))</f>
        <v>-3.4449405387945151E-2</v>
      </c>
      <c r="N43" s="67">
        <f>IF(N23=0,"",SUM(N31:N42)/N44)</f>
        <v>97.394762671574256</v>
      </c>
      <c r="O43" s="70">
        <f>IF(OR(O23=0,O23=""),"",SUM(O31:O42)/O44)</f>
        <v>103.19231200897867</v>
      </c>
      <c r="P43" s="62">
        <f>IF(N23=0,"",AVERAGE(P31:P42))</f>
        <v>5.7975493374044129</v>
      </c>
      <c r="Q43" s="54">
        <f>IF(N23=0,"",AVERAGE(Q31:Q42))</f>
        <v>6.6056560416160773E-2</v>
      </c>
      <c r="R43" s="86">
        <f>SUM(R31:R42)</f>
        <v>254</v>
      </c>
      <c r="S43" s="86">
        <f>SUM(S31:S42)</f>
        <v>253</v>
      </c>
      <c r="T43" s="77">
        <f>SUM(T31:T42)</f>
        <v>189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09">
        <f>COUNTIF(B31:B42,"&gt;0")</f>
        <v>9</v>
      </c>
      <c r="C44" s="109">
        <f>COUNTIF(C31:C42,"&gt;0")</f>
        <v>9</v>
      </c>
      <c r="D44" s="110"/>
      <c r="E44" s="111"/>
      <c r="F44" s="109">
        <f>COUNTIF(F31:F42,"&gt;0")</f>
        <v>9</v>
      </c>
      <c r="G44" s="109">
        <f>COUNTIF(G31:G42,"&gt;0")</f>
        <v>9</v>
      </c>
      <c r="H44" s="110"/>
      <c r="I44" s="111"/>
      <c r="J44" s="109">
        <f>COUNTIF(J31:J42,"&gt;0")</f>
        <v>9</v>
      </c>
      <c r="K44" s="109">
        <f>COUNTIF(K31:K42,"&gt;0")</f>
        <v>9</v>
      </c>
      <c r="L44" s="110"/>
      <c r="M44" s="111"/>
      <c r="N44" s="109">
        <f>COUNTIF(N31:N42,"&gt;0")</f>
        <v>9</v>
      </c>
      <c r="O44" s="109">
        <f>COUNTIF(O31:O42,"&gt;0")</f>
        <v>9</v>
      </c>
      <c r="P44" s="110"/>
      <c r="Q44" s="111"/>
      <c r="R44" s="112"/>
      <c r="S44" s="112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iOug5jl0vHGEPS+ezxnnxjp77jMQDaQEXkfp7qnAe+naOg8S4kF9KEHk4XAalhXmFwFPBoy6SbX0yHvJTX5Luw==" saltValue="RIajl5KpkUqmOtRMI/hLNA==" spinCount="100000" sheet="1" objects="1" scenarios="1" selectLockedCells="1" selectUnlockedCells="1"/>
  <mergeCells count="22">
    <mergeCell ref="J28:M28"/>
    <mergeCell ref="B6:E7"/>
    <mergeCell ref="B26:E27"/>
    <mergeCell ref="B2:E2"/>
    <mergeCell ref="B3:C3"/>
    <mergeCell ref="D3:E3"/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</mergeCells>
  <phoneticPr fontId="0" type="noConversion"/>
  <conditionalFormatting sqref="N12:N22">
    <cfRule type="expression" dxfId="78" priority="9" stopIfTrue="1">
      <formula>O12=""</formula>
    </cfRule>
  </conditionalFormatting>
  <conditionalFormatting sqref="R43:S43">
    <cfRule type="expression" dxfId="77" priority="10" stopIfTrue="1">
      <formula>R43&lt;$R43</formula>
    </cfRule>
    <cfRule type="expression" dxfId="76" priority="11" stopIfTrue="1">
      <formula>R43&gt;$R43</formula>
    </cfRule>
  </conditionalFormatting>
  <conditionalFormatting sqref="R31:R42">
    <cfRule type="expression" dxfId="75" priority="3" stopIfTrue="1">
      <formula>R31&lt;$R31</formula>
    </cfRule>
    <cfRule type="expression" dxfId="74" priority="4" stopIfTrue="1">
      <formula>R31&gt;$R31</formula>
    </cfRule>
  </conditionalFormatting>
  <conditionalFormatting sqref="S31:S42">
    <cfRule type="expression" dxfId="73" priority="1" stopIfTrue="1">
      <formula>S31&lt;$R31</formula>
    </cfRule>
    <cfRule type="expression" dxfId="72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0"/>
  <sheetViews>
    <sheetView showGridLines="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83" t="s">
        <v>18</v>
      </c>
      <c r="B2" s="125" t="s">
        <v>21</v>
      </c>
      <c r="C2" s="125"/>
      <c r="D2" s="125"/>
      <c r="E2" s="125"/>
      <c r="O2" s="5"/>
      <c r="P2" s="5"/>
      <c r="Q2" s="79"/>
    </row>
    <row r="3" spans="1:17" ht="13.5" customHeight="1" x14ac:dyDescent="0.2">
      <c r="A3" s="1"/>
      <c r="B3" s="126" t="s">
        <v>20</v>
      </c>
      <c r="C3" s="126"/>
      <c r="D3" s="127" t="s">
        <v>19</v>
      </c>
      <c r="E3" s="127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17" t="s">
        <v>30</v>
      </c>
      <c r="C6" s="118"/>
      <c r="D6" s="118"/>
      <c r="E6" s="118"/>
      <c r="F6" s="9"/>
    </row>
    <row r="7" spans="1:17" ht="11.25" customHeight="1" thickBot="1" x14ac:dyDescent="0.25">
      <c r="B7" s="119"/>
      <c r="C7" s="119"/>
      <c r="D7" s="119"/>
      <c r="E7" s="119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f>'BON-NS'!B9</f>
        <v>2016</v>
      </c>
      <c r="C9" s="46">
        <f>'BON-NS'!C9</f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89">
        <v>11934</v>
      </c>
      <c r="C11" s="27">
        <v>12497</v>
      </c>
      <c r="D11" s="21">
        <f>IF(C11="","",C11-B11)</f>
        <v>563</v>
      </c>
      <c r="E11" s="60">
        <f>IF(D11="","",D11/B11)</f>
        <v>4.717613541142953E-2</v>
      </c>
      <c r="F11" s="89">
        <v>11103</v>
      </c>
      <c r="G11" s="27">
        <v>10223</v>
      </c>
      <c r="H11" s="21">
        <f t="shared" ref="H11:H22" si="0">IF(G11="","",G11-F11)</f>
        <v>-880</v>
      </c>
      <c r="I11" s="60">
        <f t="shared" ref="I11:I23" si="1">IF(H11="","",H11/F11)</f>
        <v>-7.9257858236512657E-2</v>
      </c>
      <c r="J11" s="89">
        <v>1561</v>
      </c>
      <c r="K11" s="27">
        <v>1718</v>
      </c>
      <c r="L11" s="21">
        <f t="shared" ref="L11:L22" si="2">IF(K11="","",K11-J11)</f>
        <v>157</v>
      </c>
      <c r="M11" s="58">
        <f t="shared" ref="M11:M23" si="3">IF(L11="","",L11/J11)</f>
        <v>0.10057655349135169</v>
      </c>
      <c r="N11" s="33">
        <f>SUM(B11,F11,J11)</f>
        <v>24598</v>
      </c>
      <c r="O11" s="30">
        <f t="shared" ref="O11:O22" si="4">IF(C11="","",SUM(C11,G11,K11))</f>
        <v>24438</v>
      </c>
      <c r="P11" s="21">
        <f t="shared" ref="P11:P22" si="5">IF(O11="","",O11-N11)</f>
        <v>-160</v>
      </c>
      <c r="Q11" s="58">
        <f t="shared" ref="Q11:Q23" si="6">IF(P11="","",P11/N11)</f>
        <v>-6.5045938694202783E-3</v>
      </c>
    </row>
    <row r="12" spans="1:17" ht="11.25" customHeight="1" x14ac:dyDescent="0.2">
      <c r="A12" s="20" t="s">
        <v>7</v>
      </c>
      <c r="B12" s="89">
        <v>12778</v>
      </c>
      <c r="C12" s="27">
        <v>12651</v>
      </c>
      <c r="D12" s="21">
        <f t="shared" ref="D12:D22" si="7">IF(C12="","",C12-B12)</f>
        <v>-127</v>
      </c>
      <c r="E12" s="60">
        <f t="shared" ref="E12:E23" si="8">IF(D12="","",D12/B12)</f>
        <v>-9.9389575833463764E-3</v>
      </c>
      <c r="F12" s="89">
        <v>13087</v>
      </c>
      <c r="G12" s="27">
        <v>11140</v>
      </c>
      <c r="H12" s="21">
        <f t="shared" si="0"/>
        <v>-1947</v>
      </c>
      <c r="I12" s="60">
        <f t="shared" si="1"/>
        <v>-0.1487735921143119</v>
      </c>
      <c r="J12" s="89">
        <v>1429</v>
      </c>
      <c r="K12" s="27">
        <v>1403</v>
      </c>
      <c r="L12" s="21">
        <f t="shared" si="2"/>
        <v>-26</v>
      </c>
      <c r="M12" s="58">
        <f t="shared" si="3"/>
        <v>-1.8194541637508749E-2</v>
      </c>
      <c r="N12" s="33">
        <f t="shared" ref="N12:N22" si="9">SUM(B12,F12,J12)</f>
        <v>27294</v>
      </c>
      <c r="O12" s="30">
        <f t="shared" si="4"/>
        <v>25194</v>
      </c>
      <c r="P12" s="21">
        <f t="shared" si="5"/>
        <v>-2100</v>
      </c>
      <c r="Q12" s="58">
        <f t="shared" si="6"/>
        <v>-7.6939986810287977E-2</v>
      </c>
    </row>
    <row r="13" spans="1:17" ht="11.25" customHeight="1" x14ac:dyDescent="0.2">
      <c r="A13" s="87" t="s">
        <v>8</v>
      </c>
      <c r="B13" s="90">
        <v>14275</v>
      </c>
      <c r="C13" s="28">
        <v>15269</v>
      </c>
      <c r="D13" s="22">
        <f t="shared" si="7"/>
        <v>994</v>
      </c>
      <c r="E13" s="61">
        <f t="shared" si="8"/>
        <v>6.9632224168126089E-2</v>
      </c>
      <c r="F13" s="90">
        <v>12807</v>
      </c>
      <c r="G13" s="28">
        <v>12958</v>
      </c>
      <c r="H13" s="22">
        <f t="shared" si="0"/>
        <v>151</v>
      </c>
      <c r="I13" s="61">
        <f t="shared" si="1"/>
        <v>1.1790427110174124E-2</v>
      </c>
      <c r="J13" s="90">
        <v>1650</v>
      </c>
      <c r="K13" s="28">
        <v>1683</v>
      </c>
      <c r="L13" s="22">
        <f t="shared" si="2"/>
        <v>33</v>
      </c>
      <c r="M13" s="59">
        <f t="shared" si="3"/>
        <v>0.02</v>
      </c>
      <c r="N13" s="35">
        <f t="shared" si="9"/>
        <v>28732</v>
      </c>
      <c r="O13" s="31">
        <f t="shared" si="4"/>
        <v>29910</v>
      </c>
      <c r="P13" s="22">
        <f t="shared" si="5"/>
        <v>1178</v>
      </c>
      <c r="Q13" s="59">
        <f t="shared" si="6"/>
        <v>4.0999582347208685E-2</v>
      </c>
    </row>
    <row r="14" spans="1:17" ht="11.25" customHeight="1" x14ac:dyDescent="0.2">
      <c r="A14" s="20" t="s">
        <v>9</v>
      </c>
      <c r="B14" s="89">
        <v>12802</v>
      </c>
      <c r="C14" s="27">
        <v>12091</v>
      </c>
      <c r="D14" s="21">
        <f t="shared" si="7"/>
        <v>-711</v>
      </c>
      <c r="E14" s="60">
        <f t="shared" si="8"/>
        <v>-5.5538197156694266E-2</v>
      </c>
      <c r="F14" s="89">
        <v>12067</v>
      </c>
      <c r="G14" s="27">
        <v>9920</v>
      </c>
      <c r="H14" s="21">
        <f t="shared" si="0"/>
        <v>-2147</v>
      </c>
      <c r="I14" s="60">
        <f t="shared" si="1"/>
        <v>-0.17792326178834839</v>
      </c>
      <c r="J14" s="89">
        <v>1739</v>
      </c>
      <c r="K14" s="27">
        <v>1769</v>
      </c>
      <c r="L14" s="21">
        <f t="shared" si="2"/>
        <v>30</v>
      </c>
      <c r="M14" s="58">
        <f t="shared" si="3"/>
        <v>1.7251293847038527E-2</v>
      </c>
      <c r="N14" s="33">
        <f t="shared" si="9"/>
        <v>26608</v>
      </c>
      <c r="O14" s="30">
        <f t="shared" si="4"/>
        <v>23780</v>
      </c>
      <c r="P14" s="21">
        <f t="shared" si="5"/>
        <v>-2828</v>
      </c>
      <c r="Q14" s="58">
        <f t="shared" si="6"/>
        <v>-0.10628382441371016</v>
      </c>
    </row>
    <row r="15" spans="1:17" ht="11.25" customHeight="1" x14ac:dyDescent="0.2">
      <c r="A15" s="20" t="s">
        <v>10</v>
      </c>
      <c r="B15" s="89">
        <v>12344</v>
      </c>
      <c r="C15" s="27">
        <v>13652</v>
      </c>
      <c r="D15" s="21">
        <f t="shared" si="7"/>
        <v>1308</v>
      </c>
      <c r="E15" s="60">
        <f t="shared" si="8"/>
        <v>0.10596241088788075</v>
      </c>
      <c r="F15" s="89">
        <v>11627</v>
      </c>
      <c r="G15" s="27">
        <v>11479</v>
      </c>
      <c r="H15" s="21">
        <f t="shared" si="0"/>
        <v>-148</v>
      </c>
      <c r="I15" s="60">
        <f t="shared" si="1"/>
        <v>-1.2728992861443193E-2</v>
      </c>
      <c r="J15" s="89">
        <v>1483</v>
      </c>
      <c r="K15" s="27">
        <v>1568</v>
      </c>
      <c r="L15" s="21">
        <f t="shared" si="2"/>
        <v>85</v>
      </c>
      <c r="M15" s="58">
        <f t="shared" si="3"/>
        <v>5.7316250842886045E-2</v>
      </c>
      <c r="N15" s="33">
        <f t="shared" si="9"/>
        <v>25454</v>
      </c>
      <c r="O15" s="30">
        <f t="shared" si="4"/>
        <v>26699</v>
      </c>
      <c r="P15" s="21">
        <f t="shared" si="5"/>
        <v>1245</v>
      </c>
      <c r="Q15" s="58">
        <f t="shared" si="6"/>
        <v>4.8911762394908465E-2</v>
      </c>
    </row>
    <row r="16" spans="1:17" ht="11.25" customHeight="1" x14ac:dyDescent="0.2">
      <c r="A16" s="87" t="s">
        <v>11</v>
      </c>
      <c r="B16" s="90">
        <v>14263</v>
      </c>
      <c r="C16" s="28">
        <v>14043</v>
      </c>
      <c r="D16" s="22">
        <f t="shared" si="7"/>
        <v>-220</v>
      </c>
      <c r="E16" s="61">
        <f t="shared" si="8"/>
        <v>-1.542452499474164E-2</v>
      </c>
      <c r="F16" s="90">
        <v>11818</v>
      </c>
      <c r="G16" s="28">
        <v>11451</v>
      </c>
      <c r="H16" s="22">
        <f t="shared" si="0"/>
        <v>-367</v>
      </c>
      <c r="I16" s="61">
        <f t="shared" si="1"/>
        <v>-3.1054323912675579E-2</v>
      </c>
      <c r="J16" s="90">
        <v>1683</v>
      </c>
      <c r="K16" s="28">
        <v>1747</v>
      </c>
      <c r="L16" s="22">
        <f t="shared" si="2"/>
        <v>64</v>
      </c>
      <c r="M16" s="59">
        <f t="shared" si="3"/>
        <v>3.8027332144979206E-2</v>
      </c>
      <c r="N16" s="35">
        <f t="shared" si="9"/>
        <v>27764</v>
      </c>
      <c r="O16" s="31">
        <f t="shared" si="4"/>
        <v>27241</v>
      </c>
      <c r="P16" s="22">
        <f t="shared" si="5"/>
        <v>-523</v>
      </c>
      <c r="Q16" s="59">
        <f t="shared" si="6"/>
        <v>-1.8837343322287856E-2</v>
      </c>
    </row>
    <row r="17" spans="1:21" ht="11.25" customHeight="1" x14ac:dyDescent="0.2">
      <c r="A17" s="20" t="s">
        <v>12</v>
      </c>
      <c r="B17" s="89">
        <v>11389</v>
      </c>
      <c r="C17" s="27">
        <v>12373</v>
      </c>
      <c r="D17" s="21">
        <f t="shared" si="7"/>
        <v>984</v>
      </c>
      <c r="E17" s="60">
        <f t="shared" si="8"/>
        <v>8.6399157081394326E-2</v>
      </c>
      <c r="F17" s="89">
        <v>10336</v>
      </c>
      <c r="G17" s="27">
        <v>9915</v>
      </c>
      <c r="H17" s="21">
        <f t="shared" si="0"/>
        <v>-421</v>
      </c>
      <c r="I17" s="60">
        <f t="shared" si="1"/>
        <v>-4.073142414860681E-2</v>
      </c>
      <c r="J17" s="89">
        <v>1554</v>
      </c>
      <c r="K17" s="27">
        <v>1404</v>
      </c>
      <c r="L17" s="21">
        <f t="shared" si="2"/>
        <v>-150</v>
      </c>
      <c r="M17" s="58">
        <f t="shared" si="3"/>
        <v>-9.6525096525096526E-2</v>
      </c>
      <c r="N17" s="33">
        <f t="shared" si="9"/>
        <v>23279</v>
      </c>
      <c r="O17" s="30">
        <f t="shared" si="4"/>
        <v>23692</v>
      </c>
      <c r="P17" s="21">
        <f t="shared" si="5"/>
        <v>413</v>
      </c>
      <c r="Q17" s="58">
        <f t="shared" si="6"/>
        <v>1.7741311912023713E-2</v>
      </c>
    </row>
    <row r="18" spans="1:21" ht="11.25" customHeight="1" x14ac:dyDescent="0.2">
      <c r="A18" s="20" t="s">
        <v>13</v>
      </c>
      <c r="B18" s="89">
        <v>11422</v>
      </c>
      <c r="C18" s="27">
        <v>12470</v>
      </c>
      <c r="D18" s="21">
        <f t="shared" si="7"/>
        <v>1048</v>
      </c>
      <c r="E18" s="60">
        <f t="shared" si="8"/>
        <v>9.1752757835755566E-2</v>
      </c>
      <c r="F18" s="89">
        <v>8475</v>
      </c>
      <c r="G18" s="27">
        <v>8956</v>
      </c>
      <c r="H18" s="21">
        <f t="shared" si="0"/>
        <v>481</v>
      </c>
      <c r="I18" s="60">
        <f t="shared" si="1"/>
        <v>5.6755162241887903E-2</v>
      </c>
      <c r="J18" s="89">
        <v>1603</v>
      </c>
      <c r="K18" s="27">
        <v>1376</v>
      </c>
      <c r="L18" s="21">
        <f t="shared" si="2"/>
        <v>-227</v>
      </c>
      <c r="M18" s="58">
        <f t="shared" si="3"/>
        <v>-0.14160948222083594</v>
      </c>
      <c r="N18" s="33">
        <f t="shared" si="9"/>
        <v>21500</v>
      </c>
      <c r="O18" s="30">
        <f t="shared" si="4"/>
        <v>22802</v>
      </c>
      <c r="P18" s="21">
        <f t="shared" si="5"/>
        <v>1302</v>
      </c>
      <c r="Q18" s="58">
        <f t="shared" si="6"/>
        <v>6.0558139534883718E-2</v>
      </c>
    </row>
    <row r="19" spans="1:21" ht="11.25" customHeight="1" x14ac:dyDescent="0.2">
      <c r="A19" s="87" t="s">
        <v>14</v>
      </c>
      <c r="B19" s="90">
        <v>12827</v>
      </c>
      <c r="C19" s="28">
        <v>14011</v>
      </c>
      <c r="D19" s="22">
        <f t="shared" si="7"/>
        <v>1184</v>
      </c>
      <c r="E19" s="61">
        <f t="shared" si="8"/>
        <v>9.2305293521478135E-2</v>
      </c>
      <c r="F19" s="90">
        <v>11020</v>
      </c>
      <c r="G19" s="28">
        <v>11812</v>
      </c>
      <c r="H19" s="22">
        <f t="shared" si="0"/>
        <v>792</v>
      </c>
      <c r="I19" s="61">
        <f t="shared" si="1"/>
        <v>7.186932849364791E-2</v>
      </c>
      <c r="J19" s="90">
        <v>1656</v>
      </c>
      <c r="K19" s="28">
        <v>1644</v>
      </c>
      <c r="L19" s="22">
        <f t="shared" si="2"/>
        <v>-12</v>
      </c>
      <c r="M19" s="59">
        <f t="shared" si="3"/>
        <v>-7.246376811594203E-3</v>
      </c>
      <c r="N19" s="35">
        <f t="shared" si="9"/>
        <v>25503</v>
      </c>
      <c r="O19" s="31">
        <f t="shared" si="4"/>
        <v>27467</v>
      </c>
      <c r="P19" s="22">
        <f t="shared" si="5"/>
        <v>1964</v>
      </c>
      <c r="Q19" s="59">
        <f t="shared" si="6"/>
        <v>7.7010547778692706E-2</v>
      </c>
    </row>
    <row r="20" spans="1:21" ht="11.25" customHeight="1" x14ac:dyDescent="0.2">
      <c r="A20" s="20" t="s">
        <v>15</v>
      </c>
      <c r="B20" s="89">
        <v>12779</v>
      </c>
      <c r="C20" s="27"/>
      <c r="D20" s="21" t="str">
        <f t="shared" si="7"/>
        <v/>
      </c>
      <c r="E20" s="60" t="str">
        <f t="shared" si="8"/>
        <v/>
      </c>
      <c r="F20" s="89">
        <v>11337</v>
      </c>
      <c r="G20" s="27"/>
      <c r="H20" s="21" t="str">
        <f t="shared" si="0"/>
        <v/>
      </c>
      <c r="I20" s="60" t="str">
        <f t="shared" si="1"/>
        <v/>
      </c>
      <c r="J20" s="89">
        <v>1468</v>
      </c>
      <c r="K20" s="27"/>
      <c r="L20" s="21" t="str">
        <f t="shared" si="2"/>
        <v/>
      </c>
      <c r="M20" s="58" t="str">
        <f t="shared" si="3"/>
        <v/>
      </c>
      <c r="N20" s="33">
        <f t="shared" si="9"/>
        <v>25584</v>
      </c>
      <c r="O20" s="30" t="str">
        <f t="shared" si="4"/>
        <v/>
      </c>
      <c r="P20" s="21" t="str">
        <f t="shared" si="5"/>
        <v/>
      </c>
      <c r="Q20" s="58" t="str">
        <f t="shared" si="6"/>
        <v/>
      </c>
    </row>
    <row r="21" spans="1:21" ht="11.25" customHeight="1" x14ac:dyDescent="0.2">
      <c r="A21" s="20" t="s">
        <v>16</v>
      </c>
      <c r="B21" s="89">
        <v>13347</v>
      </c>
      <c r="C21" s="27"/>
      <c r="D21" s="21" t="str">
        <f t="shared" si="7"/>
        <v/>
      </c>
      <c r="E21" s="60" t="str">
        <f t="shared" si="8"/>
        <v/>
      </c>
      <c r="F21" s="89">
        <v>11220</v>
      </c>
      <c r="G21" s="27"/>
      <c r="H21" s="21" t="str">
        <f t="shared" si="0"/>
        <v/>
      </c>
      <c r="I21" s="60" t="str">
        <f t="shared" si="1"/>
        <v/>
      </c>
      <c r="J21" s="89">
        <v>1468</v>
      </c>
      <c r="K21" s="27"/>
      <c r="L21" s="21" t="str">
        <f t="shared" si="2"/>
        <v/>
      </c>
      <c r="M21" s="58" t="str">
        <f t="shared" si="3"/>
        <v/>
      </c>
      <c r="N21" s="33">
        <f t="shared" si="9"/>
        <v>26035</v>
      </c>
      <c r="O21" s="30" t="str">
        <f t="shared" si="4"/>
        <v/>
      </c>
      <c r="P21" s="21" t="str">
        <f t="shared" si="5"/>
        <v/>
      </c>
      <c r="Q21" s="58" t="str">
        <f t="shared" si="6"/>
        <v/>
      </c>
    </row>
    <row r="22" spans="1:21" ht="11.25" customHeight="1" thickBot="1" x14ac:dyDescent="0.25">
      <c r="A22" s="23" t="s">
        <v>17</v>
      </c>
      <c r="B22" s="91">
        <v>10893</v>
      </c>
      <c r="C22" s="29"/>
      <c r="D22" s="21" t="str">
        <f t="shared" si="7"/>
        <v/>
      </c>
      <c r="E22" s="88" t="str">
        <f t="shared" si="8"/>
        <v/>
      </c>
      <c r="F22" s="91">
        <v>10334</v>
      </c>
      <c r="G22" s="29"/>
      <c r="H22" s="21" t="str">
        <f t="shared" si="0"/>
        <v/>
      </c>
      <c r="I22" s="88" t="str">
        <f t="shared" si="1"/>
        <v/>
      </c>
      <c r="J22" s="91">
        <v>1488</v>
      </c>
      <c r="K22" s="29"/>
      <c r="L22" s="21" t="str">
        <f t="shared" si="2"/>
        <v/>
      </c>
      <c r="M22" s="52" t="str">
        <f t="shared" si="3"/>
        <v/>
      </c>
      <c r="N22" s="34">
        <f t="shared" si="9"/>
        <v>22715</v>
      </c>
      <c r="O22" s="32" t="str">
        <f t="shared" si="4"/>
        <v/>
      </c>
      <c r="P22" s="21" t="str">
        <f t="shared" si="5"/>
        <v/>
      </c>
      <c r="Q22" s="52" t="str">
        <f t="shared" si="6"/>
        <v/>
      </c>
    </row>
    <row r="23" spans="1:21" ht="11.25" customHeight="1" thickBot="1" x14ac:dyDescent="0.25">
      <c r="A23" s="39" t="s">
        <v>3</v>
      </c>
      <c r="B23" s="36">
        <f>IF(C24&lt;7,B24,B25)</f>
        <v>114034</v>
      </c>
      <c r="C23" s="37">
        <f>IF(C11="","",SUM(C11:C22))</f>
        <v>119057</v>
      </c>
      <c r="D23" s="38">
        <f>IF(D11="","",SUM(D11:D22))</f>
        <v>5023</v>
      </c>
      <c r="E23" s="53">
        <f t="shared" si="8"/>
        <v>4.4048266306540157E-2</v>
      </c>
      <c r="F23" s="36">
        <f>IF(G24&lt;7,F24,F25)</f>
        <v>102340</v>
      </c>
      <c r="G23" s="37">
        <f>IF(G11="","",SUM(G11:G22))</f>
        <v>97854</v>
      </c>
      <c r="H23" s="38">
        <f>IF(H11="","",SUM(H11:H22))</f>
        <v>-4486</v>
      </c>
      <c r="I23" s="53">
        <f t="shared" si="1"/>
        <v>-4.3834277897205391E-2</v>
      </c>
      <c r="J23" s="36">
        <f>IF(K24&lt;7,J24,J25)</f>
        <v>14358</v>
      </c>
      <c r="K23" s="37">
        <f>IF(K11="","",SUM(K11:K22))</f>
        <v>14312</v>
      </c>
      <c r="L23" s="38">
        <f>IF(L11="","",SUM(L11:L22))</f>
        <v>-46</v>
      </c>
      <c r="M23" s="53">
        <f t="shared" si="3"/>
        <v>-3.2037888285276501E-3</v>
      </c>
      <c r="N23" s="36">
        <f>IF(O24&lt;7,N24,N25)</f>
        <v>230732</v>
      </c>
      <c r="O23" s="37">
        <f>IF(O11="","",SUM(O11:O22))</f>
        <v>231223</v>
      </c>
      <c r="P23" s="38">
        <f>IF(P11="","",SUM(P11:P22))</f>
        <v>491</v>
      </c>
      <c r="Q23" s="53">
        <f t="shared" si="6"/>
        <v>2.1280099856110118E-3</v>
      </c>
    </row>
    <row r="24" spans="1:21" ht="11.25" customHeight="1" x14ac:dyDescent="0.2">
      <c r="A24" s="102" t="s">
        <v>28</v>
      </c>
      <c r="B24" s="103" t="str">
        <f>IF(C24=1,B11,IF(C24=2,SUM(B11:B12),IF(C24=3,SUM(B11:B13),IF(C24=4,SUM(B11:B14),IF(C24=5,SUM(B11:B15),IF(C24=6,SUM(B11:B16),""))))))</f>
        <v/>
      </c>
      <c r="C24" s="103">
        <f>COUNTIF(C11:C22,"&gt;0")</f>
        <v>9</v>
      </c>
      <c r="D24" s="103"/>
      <c r="E24" s="104"/>
      <c r="F24" s="103" t="str">
        <f>IF(G24=1,F11,IF(G24=2,SUM(F11:F12),IF(G24=3,SUM(F11:F13),IF(G24=4,SUM(F11:F14),IF(G24=5,SUM(F11:F15),IF(G24=6,SUM(F11:F16),""))))))</f>
        <v/>
      </c>
      <c r="G24" s="103">
        <f>COUNTIF(G11:G22,"&gt;0")</f>
        <v>9</v>
      </c>
      <c r="H24" s="103"/>
      <c r="I24" s="104"/>
      <c r="J24" s="103" t="str">
        <f>IF(K24=1,J11,IF(K24=2,SUM(J11:J12),IF(K24=3,SUM(J11:J13),IF(K24=4,SUM(J11:J14),IF(K24=5,SUM(J11:J15),IF(K24=6,SUM(J11:J16),""))))))</f>
        <v/>
      </c>
      <c r="K24" s="103">
        <f>COUNTIF(K11:K22,"&gt;0")</f>
        <v>9</v>
      </c>
      <c r="L24" s="103"/>
      <c r="M24" s="104"/>
      <c r="N24" s="103" t="str">
        <f>IF(O24=1,N11,IF(O24=2,SUM(N11:N12),IF(O24=3,SUM(N11:N13),IF(O24=4,SUM(N11:N14),IF(O24=5,SUM(N11:N15),IF(O24=6,SUM(N11:N16),""))))))</f>
        <v/>
      </c>
      <c r="O24" s="103">
        <f>COUNTIF(O11:O22,"&gt;0")</f>
        <v>9</v>
      </c>
      <c r="P24" s="106"/>
      <c r="Q24" s="107"/>
      <c r="R24" s="105"/>
      <c r="S24" s="105"/>
    </row>
    <row r="25" spans="1:21" ht="11.25" customHeight="1" x14ac:dyDescent="0.2">
      <c r="B25" s="76">
        <f>IF(C24=7,SUM(B11:B17),IF(C24=8,SUM(B11:B18),IF(C24=9,SUM(B11:B19),IF(C24=10,SUM(B11:B20),IF(C24=11,SUM(B11:B21),SUM(B11:B22))))))</f>
        <v>114034</v>
      </c>
      <c r="F25" s="76">
        <f>IF(G24=7,SUM(F11:F17),IF(G24=8,SUM(F11:F18),IF(G24=9,SUM(F11:F19),IF(G24=10,SUM(F11:F20),IF(G24=11,SUM(F11:F21),SUM(F11:F22))))))</f>
        <v>102340</v>
      </c>
      <c r="J25" s="76">
        <f>IF(K24=7,SUM(J11:J17),IF(K24=8,SUM(J11:J18),IF(K24=9,SUM(J11:J19),IF(K24=10,SUM(J11:J20),IF(K24=11,SUM(J11:J21),SUM(J11:J22))))))</f>
        <v>14358</v>
      </c>
      <c r="N25" s="76">
        <f>IF(O24=7,SUM(N11:N17),IF(O24=8,SUM(N11:N18),IF(O24=9,SUM(N11:N19),IF(O24=10,SUM(N11:N20),IF(O24=11,SUM(N11:N21),SUM(N11:N22))))))</f>
        <v>230732</v>
      </c>
    </row>
    <row r="26" spans="1:21" ht="11.25" customHeight="1" x14ac:dyDescent="0.2">
      <c r="A26" s="7"/>
      <c r="B26" s="117" t="s">
        <v>22</v>
      </c>
      <c r="C26" s="118"/>
      <c r="D26" s="118"/>
      <c r="E26" s="118"/>
      <c r="F26" s="9"/>
    </row>
    <row r="27" spans="1:21" ht="11.25" customHeight="1" thickBot="1" x14ac:dyDescent="0.25">
      <c r="B27" s="119"/>
      <c r="C27" s="119"/>
      <c r="D27" s="119"/>
      <c r="E27" s="119"/>
    </row>
    <row r="28" spans="1:21" ht="11.25" customHeight="1" thickBot="1" x14ac:dyDescent="0.25">
      <c r="A28" s="8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  <c r="T29" s="49"/>
    </row>
    <row r="30" spans="1:21" ht="11.25" customHeight="1" thickBot="1" x14ac:dyDescent="0.25">
      <c r="A30" s="74" t="s">
        <v>24</v>
      </c>
      <c r="B30" s="11">
        <f>T43</f>
        <v>189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4" t="s">
        <v>23</v>
      </c>
      <c r="S30" s="135"/>
      <c r="T30" s="50"/>
    </row>
    <row r="31" spans="1:21" ht="11.25" customHeight="1" x14ac:dyDescent="0.2">
      <c r="A31" s="20" t="s">
        <v>6</v>
      </c>
      <c r="B31" s="65">
        <f>IF(C11="","",B11/$R31)</f>
        <v>568.28571428571433</v>
      </c>
      <c r="C31" s="68">
        <f>IF(C11="","",C11/$S31)</f>
        <v>568.0454545454545</v>
      </c>
      <c r="D31" s="64">
        <f>IF(C31="","",C31-B31)</f>
        <v>-0.24025974025983032</v>
      </c>
      <c r="E31" s="60">
        <f>IF(C31="","",(C31-B31)/ABS(B31))</f>
        <v>-4.2277983454469889E-4</v>
      </c>
      <c r="F31" s="65">
        <f>IF(G11="","",F11/$R31)</f>
        <v>528.71428571428567</v>
      </c>
      <c r="G31" s="68">
        <f>IF(G11="","",G11/$S31)</f>
        <v>464.68181818181819</v>
      </c>
      <c r="H31" s="80">
        <f>IF(G31="","",G31-F31)</f>
        <v>-64.032467532467479</v>
      </c>
      <c r="I31" s="60">
        <f>IF(G31="","",(G31-F31)/ABS(F31))</f>
        <v>-0.12110977377121654</v>
      </c>
      <c r="J31" s="65">
        <f>IF(K11="","",J11/$R31)</f>
        <v>74.333333333333329</v>
      </c>
      <c r="K31" s="68">
        <f>IF(K11="","",K11/$S31)</f>
        <v>78.090909090909093</v>
      </c>
      <c r="L31" s="80">
        <f>IF(K31="","",K31-J31)</f>
        <v>3.7575757575757649</v>
      </c>
      <c r="M31" s="60">
        <f>IF(K31="","",(K31-J31)/ABS(J31))</f>
        <v>5.0550346514472176E-2</v>
      </c>
      <c r="N31" s="65">
        <f>IF(O11="","",N11/$R31)</f>
        <v>1171.3333333333333</v>
      </c>
      <c r="O31" s="68">
        <f>IF(O11="","",O11/$S31)</f>
        <v>1110.8181818181818</v>
      </c>
      <c r="P31" s="80">
        <f>IF(O31="","",O31-N31)</f>
        <v>-60.515151515151501</v>
      </c>
      <c r="Q31" s="58">
        <f>IF(O31="","",(O31-N31)/ABS(N31))</f>
        <v>-5.1663475966264805E-2</v>
      </c>
      <c r="R31" s="56">
        <v>21</v>
      </c>
      <c r="S31" s="56">
        <v>22</v>
      </c>
      <c r="T31" s="77">
        <f>IF(OR(N31="",N31=0),"",R31)</f>
        <v>21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ref="B32:B42" si="10">IF(C12="","",B12/$R32)</f>
        <v>638.9</v>
      </c>
      <c r="C32" s="68">
        <f t="shared" ref="C32:C42" si="11">IF(C12="","",C12/$S32)</f>
        <v>632.54999999999995</v>
      </c>
      <c r="D32" s="64">
        <f t="shared" ref="D32:D42" si="12">IF(C32="","",C32-B32)</f>
        <v>-6.3500000000000227</v>
      </c>
      <c r="E32" s="60">
        <f t="shared" ref="E32:E43" si="13">IF(C32="","",(C32-B32)/ABS(B32))</f>
        <v>-9.9389575833464128E-3</v>
      </c>
      <c r="F32" s="65">
        <f t="shared" ref="F32:F42" si="14">IF(G12="","",F12/$R32)</f>
        <v>654.35</v>
      </c>
      <c r="G32" s="68">
        <f t="shared" ref="G32:G42" si="15">IF(G12="","",G12/$S32)</f>
        <v>557</v>
      </c>
      <c r="H32" s="80">
        <f t="shared" ref="H32:H42" si="16">IF(G32="","",G32-F32)</f>
        <v>-97.350000000000023</v>
      </c>
      <c r="I32" s="60">
        <f t="shared" ref="I32:I43" si="17">IF(G32="","",(G32-F32)/ABS(F32))</f>
        <v>-0.14877359211431193</v>
      </c>
      <c r="J32" s="65">
        <f t="shared" ref="J32:J42" si="18">IF(K12="","",J12/$R32)</f>
        <v>71.45</v>
      </c>
      <c r="K32" s="68">
        <f t="shared" ref="K32:K42" si="19">IF(K12="","",K12/$S32)</f>
        <v>70.150000000000006</v>
      </c>
      <c r="L32" s="80">
        <f t="shared" ref="L32:L42" si="20">IF(K32="","",K32-J32)</f>
        <v>-1.2999999999999972</v>
      </c>
      <c r="M32" s="60">
        <f t="shared" ref="M32:M43" si="21">IF(K32="","",(K32-J32)/ABS(J32))</f>
        <v>-1.8194541637508707E-2</v>
      </c>
      <c r="N32" s="65">
        <f t="shared" ref="N32:N42" si="22">IF(O12="","",N12/$R32)</f>
        <v>1364.7</v>
      </c>
      <c r="O32" s="68">
        <f t="shared" ref="O32:O42" si="23">IF(O12="","",O12/$S32)</f>
        <v>1259.7</v>
      </c>
      <c r="P32" s="80">
        <f t="shared" ref="P32:P42" si="24">IF(O32="","",O32-N32)</f>
        <v>-105</v>
      </c>
      <c r="Q32" s="58">
        <f t="shared" ref="Q32:Q43" si="25">IF(O32="","",(O32-N32)/ABS(N32))</f>
        <v>-7.6939986810287977E-2</v>
      </c>
      <c r="R32" s="56">
        <v>20</v>
      </c>
      <c r="S32" s="56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41" t="s">
        <v>8</v>
      </c>
      <c r="B33" s="66">
        <f t="shared" si="10"/>
        <v>648.86363636363637</v>
      </c>
      <c r="C33" s="69">
        <f t="shared" si="11"/>
        <v>663.86956521739125</v>
      </c>
      <c r="D33" s="71">
        <f t="shared" si="12"/>
        <v>15.005928853754881</v>
      </c>
      <c r="E33" s="61">
        <f t="shared" si="13"/>
        <v>2.3126475291250954E-2</v>
      </c>
      <c r="F33" s="66">
        <f t="shared" si="14"/>
        <v>582.13636363636363</v>
      </c>
      <c r="G33" s="69">
        <f t="shared" si="15"/>
        <v>563.39130434782612</v>
      </c>
      <c r="H33" s="81">
        <f t="shared" si="16"/>
        <v>-18.745059288537504</v>
      </c>
      <c r="I33" s="61">
        <f t="shared" si="17"/>
        <v>-3.220046102505076E-2</v>
      </c>
      <c r="J33" s="66">
        <f t="shared" si="18"/>
        <v>75</v>
      </c>
      <c r="K33" s="69">
        <f t="shared" si="19"/>
        <v>73.173913043478265</v>
      </c>
      <c r="L33" s="81">
        <f t="shared" si="20"/>
        <v>-1.8260869565217348</v>
      </c>
      <c r="M33" s="61">
        <f t="shared" si="21"/>
        <v>-2.4347826086956462E-2</v>
      </c>
      <c r="N33" s="66">
        <f t="shared" si="22"/>
        <v>1306</v>
      </c>
      <c r="O33" s="69">
        <f t="shared" si="23"/>
        <v>1300.4347826086957</v>
      </c>
      <c r="P33" s="81">
        <f t="shared" si="24"/>
        <v>-5.5652173913042589</v>
      </c>
      <c r="Q33" s="59">
        <f t="shared" si="25"/>
        <v>-4.2612690591916228E-3</v>
      </c>
      <c r="R33" s="85">
        <v>22</v>
      </c>
      <c r="S33" s="85">
        <v>23</v>
      </c>
      <c r="T33" s="77">
        <f t="shared" si="26"/>
        <v>22</v>
      </c>
      <c r="U33" s="77">
        <f t="shared" si="26"/>
        <v>23</v>
      </c>
    </row>
    <row r="34" spans="1:21" ht="11.25" customHeight="1" x14ac:dyDescent="0.2">
      <c r="A34" s="20" t="s">
        <v>9</v>
      </c>
      <c r="B34" s="65">
        <f t="shared" si="10"/>
        <v>640.1</v>
      </c>
      <c r="C34" s="68">
        <f t="shared" si="11"/>
        <v>671.72222222222217</v>
      </c>
      <c r="D34" s="64">
        <f t="shared" si="12"/>
        <v>31.622222222222149</v>
      </c>
      <c r="E34" s="60">
        <f t="shared" si="13"/>
        <v>4.9402003159228478E-2</v>
      </c>
      <c r="F34" s="65">
        <f t="shared" si="14"/>
        <v>603.35</v>
      </c>
      <c r="G34" s="68">
        <f t="shared" si="15"/>
        <v>551.11111111111109</v>
      </c>
      <c r="H34" s="80">
        <f t="shared" si="16"/>
        <v>-52.238888888888937</v>
      </c>
      <c r="I34" s="60">
        <f t="shared" si="17"/>
        <v>-8.6581401987053844E-2</v>
      </c>
      <c r="J34" s="65">
        <f t="shared" si="18"/>
        <v>86.95</v>
      </c>
      <c r="K34" s="68">
        <f t="shared" si="19"/>
        <v>98.277777777777771</v>
      </c>
      <c r="L34" s="80">
        <f t="shared" si="20"/>
        <v>11.327777777777769</v>
      </c>
      <c r="M34" s="60">
        <f t="shared" si="21"/>
        <v>0.13027921538559825</v>
      </c>
      <c r="N34" s="65">
        <f t="shared" si="22"/>
        <v>1330.4</v>
      </c>
      <c r="O34" s="68">
        <f t="shared" si="23"/>
        <v>1321.1111111111111</v>
      </c>
      <c r="P34" s="80">
        <f t="shared" si="24"/>
        <v>-9.2888888888890051</v>
      </c>
      <c r="Q34" s="58">
        <f t="shared" si="25"/>
        <v>-6.9820271263447116E-3</v>
      </c>
      <c r="R34" s="56">
        <v>20</v>
      </c>
      <c r="S34" s="56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10</v>
      </c>
      <c r="B35" s="65">
        <f t="shared" si="10"/>
        <v>685.77777777777783</v>
      </c>
      <c r="C35" s="68">
        <f t="shared" si="11"/>
        <v>650.09523809523807</v>
      </c>
      <c r="D35" s="64">
        <f t="shared" si="12"/>
        <v>-35.682539682539755</v>
      </c>
      <c r="E35" s="60">
        <f t="shared" si="13"/>
        <v>-5.2032219238959454E-2</v>
      </c>
      <c r="F35" s="65">
        <f t="shared" si="14"/>
        <v>645.94444444444446</v>
      </c>
      <c r="G35" s="68">
        <f t="shared" si="15"/>
        <v>546.61904761904759</v>
      </c>
      <c r="H35" s="80">
        <f t="shared" si="16"/>
        <v>-99.325396825396865</v>
      </c>
      <c r="I35" s="60">
        <f t="shared" si="17"/>
        <v>-0.15376770816695137</v>
      </c>
      <c r="J35" s="65">
        <f t="shared" si="18"/>
        <v>82.388888888888886</v>
      </c>
      <c r="K35" s="68">
        <f t="shared" si="19"/>
        <v>74.666666666666671</v>
      </c>
      <c r="L35" s="80">
        <f t="shared" si="20"/>
        <v>-7.7222222222222143</v>
      </c>
      <c r="M35" s="60">
        <f t="shared" si="21"/>
        <v>-9.372892784895473E-2</v>
      </c>
      <c r="N35" s="65">
        <f t="shared" si="22"/>
        <v>1414.1111111111111</v>
      </c>
      <c r="O35" s="68">
        <f t="shared" si="23"/>
        <v>1271.3809523809523</v>
      </c>
      <c r="P35" s="80">
        <f t="shared" si="24"/>
        <v>-142.73015873015879</v>
      </c>
      <c r="Q35" s="58">
        <f t="shared" si="25"/>
        <v>-0.1009327750900785</v>
      </c>
      <c r="R35" s="56">
        <v>18</v>
      </c>
      <c r="S35" s="56">
        <v>21</v>
      </c>
      <c r="T35" s="77">
        <f t="shared" si="26"/>
        <v>18</v>
      </c>
      <c r="U35" s="77">
        <f t="shared" si="26"/>
        <v>21</v>
      </c>
    </row>
    <row r="36" spans="1:21" ht="11.25" customHeight="1" x14ac:dyDescent="0.2">
      <c r="A36" s="41" t="s">
        <v>11</v>
      </c>
      <c r="B36" s="66">
        <f t="shared" si="10"/>
        <v>648.31818181818187</v>
      </c>
      <c r="C36" s="69">
        <f t="shared" si="11"/>
        <v>638.31818181818187</v>
      </c>
      <c r="D36" s="71">
        <f t="shared" si="12"/>
        <v>-10</v>
      </c>
      <c r="E36" s="61">
        <f t="shared" si="13"/>
        <v>-1.5424524994741638E-2</v>
      </c>
      <c r="F36" s="66">
        <f t="shared" si="14"/>
        <v>537.18181818181813</v>
      </c>
      <c r="G36" s="69">
        <f t="shared" si="15"/>
        <v>520.5</v>
      </c>
      <c r="H36" s="81">
        <f t="shared" si="16"/>
        <v>-16.68181818181813</v>
      </c>
      <c r="I36" s="61">
        <f t="shared" si="17"/>
        <v>-3.1054323912675486E-2</v>
      </c>
      <c r="J36" s="66">
        <f t="shared" si="18"/>
        <v>76.5</v>
      </c>
      <c r="K36" s="69">
        <f t="shared" si="19"/>
        <v>79.409090909090907</v>
      </c>
      <c r="L36" s="81">
        <f t="shared" si="20"/>
        <v>2.9090909090909065</v>
      </c>
      <c r="M36" s="61">
        <f t="shared" si="21"/>
        <v>3.8027332144979172E-2</v>
      </c>
      <c r="N36" s="66">
        <f t="shared" si="22"/>
        <v>1262</v>
      </c>
      <c r="O36" s="69">
        <f t="shared" si="23"/>
        <v>1238.2272727272727</v>
      </c>
      <c r="P36" s="81">
        <f t="shared" si="24"/>
        <v>-23.772727272727252</v>
      </c>
      <c r="Q36" s="59">
        <f t="shared" si="25"/>
        <v>-1.8837343322287838E-2</v>
      </c>
      <c r="R36" s="85">
        <v>22</v>
      </c>
      <c r="S36" s="85">
        <v>22</v>
      </c>
      <c r="T36" s="77">
        <f t="shared" si="26"/>
        <v>22</v>
      </c>
      <c r="U36" s="77">
        <f t="shared" si="26"/>
        <v>22</v>
      </c>
    </row>
    <row r="37" spans="1:21" ht="11.25" customHeight="1" x14ac:dyDescent="0.2">
      <c r="A37" s="20" t="s">
        <v>12</v>
      </c>
      <c r="B37" s="65">
        <f t="shared" si="10"/>
        <v>495.17391304347825</v>
      </c>
      <c r="C37" s="68">
        <f t="shared" si="11"/>
        <v>589.19047619047615</v>
      </c>
      <c r="D37" s="64">
        <f t="shared" si="12"/>
        <v>94.016563146997896</v>
      </c>
      <c r="E37" s="60">
        <f t="shared" si="13"/>
        <v>0.18986574347009849</v>
      </c>
      <c r="F37" s="65">
        <f t="shared" si="14"/>
        <v>449.39130434782606</v>
      </c>
      <c r="G37" s="68">
        <f t="shared" si="15"/>
        <v>472.14285714285717</v>
      </c>
      <c r="H37" s="80">
        <f t="shared" si="16"/>
        <v>22.751552795031103</v>
      </c>
      <c r="I37" s="60">
        <f t="shared" si="17"/>
        <v>5.0627487837240262E-2</v>
      </c>
      <c r="J37" s="65">
        <f t="shared" si="18"/>
        <v>67.565217391304344</v>
      </c>
      <c r="K37" s="68">
        <f t="shared" si="19"/>
        <v>66.857142857142861</v>
      </c>
      <c r="L37" s="80">
        <f t="shared" si="20"/>
        <v>-0.70807453416148292</v>
      </c>
      <c r="M37" s="60">
        <f t="shared" si="21"/>
        <v>-1.0479867622724652E-2</v>
      </c>
      <c r="N37" s="65">
        <f t="shared" si="22"/>
        <v>1012.1304347826087</v>
      </c>
      <c r="O37" s="68">
        <f t="shared" si="23"/>
        <v>1128.1904761904761</v>
      </c>
      <c r="P37" s="80">
        <f t="shared" si="24"/>
        <v>116.0600414078674</v>
      </c>
      <c r="Q37" s="58">
        <f t="shared" si="25"/>
        <v>0.11466905590364491</v>
      </c>
      <c r="R37" s="56">
        <v>23</v>
      </c>
      <c r="S37" s="56">
        <v>21</v>
      </c>
      <c r="T37" s="77">
        <f t="shared" si="26"/>
        <v>23</v>
      </c>
      <c r="U37" s="77">
        <f t="shared" si="26"/>
        <v>21</v>
      </c>
    </row>
    <row r="38" spans="1:21" ht="11.25" customHeight="1" x14ac:dyDescent="0.2">
      <c r="A38" s="20" t="s">
        <v>13</v>
      </c>
      <c r="B38" s="65">
        <f t="shared" si="10"/>
        <v>543.90476190476193</v>
      </c>
      <c r="C38" s="68">
        <f t="shared" si="11"/>
        <v>566.81818181818187</v>
      </c>
      <c r="D38" s="64">
        <f t="shared" si="12"/>
        <v>22.913419913419943</v>
      </c>
      <c r="E38" s="60">
        <f t="shared" si="13"/>
        <v>4.2127632479584905E-2</v>
      </c>
      <c r="F38" s="65">
        <f t="shared" si="14"/>
        <v>403.57142857142856</v>
      </c>
      <c r="G38" s="68">
        <f t="shared" si="15"/>
        <v>407.09090909090907</v>
      </c>
      <c r="H38" s="80">
        <f t="shared" si="16"/>
        <v>3.5194805194805099</v>
      </c>
      <c r="I38" s="60">
        <f t="shared" si="17"/>
        <v>8.7208366854384326E-3</v>
      </c>
      <c r="J38" s="65">
        <f t="shared" si="18"/>
        <v>76.333333333333329</v>
      </c>
      <c r="K38" s="68">
        <f t="shared" si="19"/>
        <v>62.545454545454547</v>
      </c>
      <c r="L38" s="80">
        <f t="shared" si="20"/>
        <v>-13.787878787878782</v>
      </c>
      <c r="M38" s="60">
        <f t="shared" si="21"/>
        <v>-0.18062723302897968</v>
      </c>
      <c r="N38" s="65">
        <f t="shared" si="22"/>
        <v>1023.8095238095239</v>
      </c>
      <c r="O38" s="68">
        <f t="shared" si="23"/>
        <v>1036.4545454545455</v>
      </c>
      <c r="P38" s="80">
        <f t="shared" si="24"/>
        <v>12.645021645021643</v>
      </c>
      <c r="Q38" s="58">
        <f t="shared" si="25"/>
        <v>1.2350951374207185E-2</v>
      </c>
      <c r="R38" s="56">
        <v>21</v>
      </c>
      <c r="S38" s="56">
        <v>22</v>
      </c>
      <c r="T38" s="77">
        <f t="shared" si="26"/>
        <v>21</v>
      </c>
      <c r="U38" s="77">
        <f t="shared" si="26"/>
        <v>22</v>
      </c>
    </row>
    <row r="39" spans="1:21" ht="11.25" customHeight="1" x14ac:dyDescent="0.2">
      <c r="A39" s="41" t="s">
        <v>14</v>
      </c>
      <c r="B39" s="66">
        <f t="shared" si="10"/>
        <v>583.0454545454545</v>
      </c>
      <c r="C39" s="69">
        <f t="shared" si="11"/>
        <v>667.19047619047615</v>
      </c>
      <c r="D39" s="71">
        <f t="shared" si="12"/>
        <v>84.145021645021643</v>
      </c>
      <c r="E39" s="61">
        <f t="shared" si="13"/>
        <v>0.14431983130821519</v>
      </c>
      <c r="F39" s="66">
        <f t="shared" si="14"/>
        <v>500.90909090909093</v>
      </c>
      <c r="G39" s="69">
        <f t="shared" si="15"/>
        <v>562.47619047619048</v>
      </c>
      <c r="H39" s="81">
        <f t="shared" si="16"/>
        <v>61.567099567099547</v>
      </c>
      <c r="I39" s="61">
        <f t="shared" si="17"/>
        <v>0.12291072508858349</v>
      </c>
      <c r="J39" s="66">
        <f t="shared" si="18"/>
        <v>75.272727272727266</v>
      </c>
      <c r="K39" s="69">
        <f t="shared" si="19"/>
        <v>78.285714285714292</v>
      </c>
      <c r="L39" s="81">
        <f t="shared" si="20"/>
        <v>3.0129870129870255</v>
      </c>
      <c r="M39" s="61">
        <f t="shared" si="21"/>
        <v>4.0027605244996718E-2</v>
      </c>
      <c r="N39" s="66">
        <f t="shared" si="22"/>
        <v>1159.2272727272727</v>
      </c>
      <c r="O39" s="69">
        <f t="shared" si="23"/>
        <v>1307.952380952381</v>
      </c>
      <c r="P39" s="81">
        <f t="shared" si="24"/>
        <v>148.72510822510822</v>
      </c>
      <c r="Q39" s="59">
        <f t="shared" si="25"/>
        <v>0.12829676433958281</v>
      </c>
      <c r="R39" s="85">
        <v>22</v>
      </c>
      <c r="S39" s="85">
        <v>21</v>
      </c>
      <c r="T39" s="77">
        <f t="shared" si="26"/>
        <v>22</v>
      </c>
      <c r="U39" s="77">
        <f t="shared" si="26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22</v>
      </c>
      <c r="S40" s="56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2"/>
        <v/>
      </c>
      <c r="E42" s="60" t="str">
        <f t="shared" si="13"/>
        <v/>
      </c>
      <c r="F42" s="65" t="str">
        <f t="shared" si="14"/>
        <v/>
      </c>
      <c r="G42" s="68" t="str">
        <f t="shared" si="15"/>
        <v/>
      </c>
      <c r="H42" s="80" t="str">
        <f t="shared" si="16"/>
        <v/>
      </c>
      <c r="I42" s="60" t="str">
        <f t="shared" si="17"/>
        <v/>
      </c>
      <c r="J42" s="65" t="str">
        <f t="shared" si="18"/>
        <v/>
      </c>
      <c r="K42" s="68" t="str">
        <f t="shared" si="19"/>
        <v/>
      </c>
      <c r="L42" s="80" t="str">
        <f t="shared" si="20"/>
        <v/>
      </c>
      <c r="M42" s="60" t="str">
        <f t="shared" si="21"/>
        <v/>
      </c>
      <c r="N42" s="65" t="str">
        <f t="shared" si="22"/>
        <v/>
      </c>
      <c r="O42" s="68" t="str">
        <f t="shared" si="23"/>
        <v/>
      </c>
      <c r="P42" s="80" t="str">
        <f t="shared" si="24"/>
        <v/>
      </c>
      <c r="Q42" s="58" t="str">
        <f t="shared" si="25"/>
        <v/>
      </c>
      <c r="R42" s="56">
        <v>22</v>
      </c>
      <c r="S42" s="56">
        <v>19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40" t="s">
        <v>29</v>
      </c>
      <c r="B43" s="67">
        <f>AVERAGE(B31:B42)</f>
        <v>605.81882663766714</v>
      </c>
      <c r="C43" s="70">
        <f>IF(C11="","",AVERAGE(C31:C42))</f>
        <v>627.53331067751355</v>
      </c>
      <c r="D43" s="62">
        <f>IF(D31="","",AVERAGE(D31:D42))</f>
        <v>21.714484039846322</v>
      </c>
      <c r="E43" s="54">
        <f t="shared" si="13"/>
        <v>3.5843197809422946E-2</v>
      </c>
      <c r="F43" s="67">
        <f>AVERAGE(F31:F42)</f>
        <v>545.06097064502853</v>
      </c>
      <c r="G43" s="70">
        <f>IF(G11="","",AVERAGE(G31:G42))</f>
        <v>516.11258199663996</v>
      </c>
      <c r="H43" s="82">
        <f>IF(H31="","",AVERAGE(H31:H42))</f>
        <v>-28.948388648388644</v>
      </c>
      <c r="I43" s="54">
        <f t="shared" si="17"/>
        <v>-5.3110367844042973E-2</v>
      </c>
      <c r="J43" s="67">
        <f>AVERAGE(J31:J42)</f>
        <v>76.199277802176368</v>
      </c>
      <c r="K43" s="70">
        <f>IF(K11="","",AVERAGE(K31:K42))</f>
        <v>75.717407686248265</v>
      </c>
      <c r="L43" s="82">
        <f>IF(L31="","",AVERAGE(L31:L42))</f>
        <v>-0.48187011592808282</v>
      </c>
      <c r="M43" s="54">
        <f t="shared" si="21"/>
        <v>-6.323814737182987E-3</v>
      </c>
      <c r="N43" s="67">
        <f>AVERAGE(N31:N42)</f>
        <v>1227.0790750848723</v>
      </c>
      <c r="O43" s="70">
        <f>IF(O11="","",AVERAGE(O31:O42))</f>
        <v>1219.3633003604018</v>
      </c>
      <c r="P43" s="82">
        <f>IF(P31="","",AVERAGE(P31:P42))</f>
        <v>-7.7157747244703945</v>
      </c>
      <c r="Q43" s="55">
        <f t="shared" si="25"/>
        <v>-6.287919728349088E-3</v>
      </c>
      <c r="R43" s="86">
        <f>SUM(R31:R42)</f>
        <v>254</v>
      </c>
      <c r="S43" s="86">
        <f>SUM(S31:S42)</f>
        <v>253</v>
      </c>
      <c r="T43" s="77">
        <f>SUM(T31:T42)</f>
        <v>189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09"/>
      <c r="C44" s="109">
        <f>COUNTIF(C31:C42,"&gt;0")</f>
        <v>9</v>
      </c>
      <c r="D44" s="110"/>
      <c r="E44" s="111"/>
      <c r="F44" s="109"/>
      <c r="G44" s="109">
        <f>COUNTIF(G31:G42,"&gt;0")</f>
        <v>9</v>
      </c>
      <c r="H44" s="110"/>
      <c r="I44" s="111"/>
      <c r="J44" s="109"/>
      <c r="K44" s="109">
        <f>COUNTIF(K31:K42,"&gt;0")</f>
        <v>9</v>
      </c>
      <c r="L44" s="110"/>
      <c r="M44" s="111"/>
      <c r="N44" s="109"/>
      <c r="O44" s="109">
        <f>COUNTIF(O31:O42,"&gt;0")</f>
        <v>9</v>
      </c>
      <c r="P44" s="114"/>
      <c r="Q44" s="116"/>
      <c r="R44" s="112"/>
      <c r="S44" s="112"/>
    </row>
    <row r="45" spans="1:21" ht="11.25" customHeight="1" x14ac:dyDescent="0.2">
      <c r="A45"/>
      <c r="B45"/>
      <c r="C45"/>
      <c r="D45"/>
      <c r="E45"/>
      <c r="F45"/>
      <c r="G45" s="63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sma8cVznLvNSBFS6xYR7kr2fl4kxtZZD4V3jBLRBWb8nUhWeIPrBx5DXDqUhZOUknGqdb7p81KKF+gvXm/+P+A==" saltValue="0kWcj6OysRFV/19S5AXZOg==" spinCount="100000" sheet="1" objects="1" scenarios="1" selectLockedCells="1" selectUnlockedCells="1"/>
  <mergeCells count="22">
    <mergeCell ref="B2:E2"/>
    <mergeCell ref="B3:C3"/>
    <mergeCell ref="D3:E3"/>
    <mergeCell ref="B28:E28"/>
    <mergeCell ref="B26:E27"/>
    <mergeCell ref="B6:E7"/>
    <mergeCell ref="D9:E9"/>
    <mergeCell ref="R30:S30"/>
    <mergeCell ref="B8:E8"/>
    <mergeCell ref="D29:E29"/>
    <mergeCell ref="H29:I29"/>
    <mergeCell ref="L29:M29"/>
    <mergeCell ref="P29:Q29"/>
    <mergeCell ref="N8:Q8"/>
    <mergeCell ref="F28:I28"/>
    <mergeCell ref="J28:M28"/>
    <mergeCell ref="F8:I8"/>
    <mergeCell ref="J8:M8"/>
    <mergeCell ref="N28:Q28"/>
    <mergeCell ref="L9:M9"/>
    <mergeCell ref="P9:Q9"/>
    <mergeCell ref="H9:I9"/>
  </mergeCells>
  <phoneticPr fontId="0" type="noConversion"/>
  <conditionalFormatting sqref="N13:N22">
    <cfRule type="expression" dxfId="71" priority="9" stopIfTrue="1">
      <formula>O13=""</formula>
    </cfRule>
  </conditionalFormatting>
  <conditionalFormatting sqref="N12">
    <cfRule type="expression" dxfId="70" priority="10" stopIfTrue="1">
      <formula>O12=""</formula>
    </cfRule>
  </conditionalFormatting>
  <conditionalFormatting sqref="R43:S43">
    <cfRule type="expression" dxfId="69" priority="11" stopIfTrue="1">
      <formula>R43&lt;$R43</formula>
    </cfRule>
    <cfRule type="expression" dxfId="68" priority="12" stopIfTrue="1">
      <formula>R43&gt;$R43</formula>
    </cfRule>
  </conditionalFormatting>
  <conditionalFormatting sqref="R31:R42">
    <cfRule type="expression" dxfId="67" priority="3" stopIfTrue="1">
      <formula>R31&lt;$R31</formula>
    </cfRule>
    <cfRule type="expression" dxfId="66" priority="4" stopIfTrue="1">
      <formula>R31&gt;$R31</formula>
    </cfRule>
  </conditionalFormatting>
  <conditionalFormatting sqref="S31:S42">
    <cfRule type="expression" dxfId="65" priority="1" stopIfTrue="1">
      <formula>S31&lt;$R31</formula>
    </cfRule>
    <cfRule type="expression" dxfId="64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0"/>
  <sheetViews>
    <sheetView showGridLines="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83" t="s">
        <v>18</v>
      </c>
      <c r="B2" s="145" t="s">
        <v>21</v>
      </c>
      <c r="C2" s="145"/>
      <c r="D2" s="145"/>
      <c r="E2" s="145"/>
      <c r="Q2" s="79"/>
    </row>
    <row r="3" spans="1:17" ht="13.5" customHeight="1" x14ac:dyDescent="0.2">
      <c r="A3" s="1"/>
      <c r="B3" s="126" t="s">
        <v>20</v>
      </c>
      <c r="C3" s="126"/>
      <c r="D3" s="146" t="s">
        <v>25</v>
      </c>
      <c r="E3" s="146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17" t="s">
        <v>30</v>
      </c>
      <c r="C6" s="143"/>
      <c r="D6" s="143"/>
      <c r="E6" s="143"/>
      <c r="F6" s="9"/>
    </row>
    <row r="7" spans="1:17" ht="11.25" customHeight="1" thickBot="1" x14ac:dyDescent="0.25">
      <c r="B7" s="144"/>
      <c r="C7" s="144"/>
      <c r="D7" s="144"/>
      <c r="E7" s="144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f>'BON-NS'!B9</f>
        <v>2016</v>
      </c>
      <c r="C9" s="46">
        <f>'BON-NS'!C9</f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92">
        <v>3195</v>
      </c>
      <c r="C11" s="42">
        <v>3496</v>
      </c>
      <c r="D11" s="21">
        <f t="shared" ref="D11:D22" si="0">IF(C11="","",C11-B11)</f>
        <v>301</v>
      </c>
      <c r="E11" s="60">
        <f t="shared" ref="E11:E23" si="1">IF(D11="","",D11/B11)</f>
        <v>9.4209702660406888E-2</v>
      </c>
      <c r="F11" s="92">
        <v>11982</v>
      </c>
      <c r="G11" s="42">
        <v>11129</v>
      </c>
      <c r="H11" s="21">
        <f t="shared" ref="H11:H22" si="2">IF(G11="","",G11-F11)</f>
        <v>-853</v>
      </c>
      <c r="I11" s="60">
        <f t="shared" ref="I11:I23" si="3">IF(H11="","",H11/F11)</f>
        <v>-7.1190118511099978E-2</v>
      </c>
      <c r="J11" s="92">
        <v>7470</v>
      </c>
      <c r="K11" s="42">
        <v>6399</v>
      </c>
      <c r="L11" s="21">
        <f t="shared" ref="L11:L22" si="4">IF(K11="","",K11-J11)</f>
        <v>-1071</v>
      </c>
      <c r="M11" s="58">
        <f t="shared" ref="M11:M23" si="5">IF(L11="","",L11/J11)</f>
        <v>-0.14337349397590363</v>
      </c>
      <c r="N11" s="33">
        <f>SUM(B11,F11,J11)</f>
        <v>22647</v>
      </c>
      <c r="O11" s="30">
        <f t="shared" ref="O11:O22" si="6">IF(C11="","",SUM(C11,G11,K11))</f>
        <v>21024</v>
      </c>
      <c r="P11" s="21">
        <f t="shared" ref="P11:P22" si="7">IF(O11="","",O11-N11)</f>
        <v>-1623</v>
      </c>
      <c r="Q11" s="58">
        <f t="shared" ref="Q11:Q23" si="8">IF(P11="","",P11/N11)</f>
        <v>-7.166512120810703E-2</v>
      </c>
    </row>
    <row r="12" spans="1:17" ht="11.25" customHeight="1" x14ac:dyDescent="0.2">
      <c r="A12" s="20" t="s">
        <v>7</v>
      </c>
      <c r="B12" s="92">
        <v>3308</v>
      </c>
      <c r="C12" s="42">
        <v>3293</v>
      </c>
      <c r="D12" s="21">
        <f t="shared" si="0"/>
        <v>-15</v>
      </c>
      <c r="E12" s="60">
        <f t="shared" si="1"/>
        <v>-4.534461910519952E-3</v>
      </c>
      <c r="F12" s="92">
        <v>13400</v>
      </c>
      <c r="G12" s="42">
        <v>11554</v>
      </c>
      <c r="H12" s="21">
        <f t="shared" si="2"/>
        <v>-1846</v>
      </c>
      <c r="I12" s="60">
        <f t="shared" si="3"/>
        <v>-0.13776119402985074</v>
      </c>
      <c r="J12" s="92">
        <v>8425</v>
      </c>
      <c r="K12" s="42">
        <v>6897</v>
      </c>
      <c r="L12" s="21">
        <f t="shared" si="4"/>
        <v>-1528</v>
      </c>
      <c r="M12" s="58">
        <f t="shared" si="5"/>
        <v>-0.18136498516320476</v>
      </c>
      <c r="N12" s="33">
        <f t="shared" ref="N12:N22" si="9">SUM(B12,F12,J12)</f>
        <v>25133</v>
      </c>
      <c r="O12" s="30">
        <f t="shared" si="6"/>
        <v>21744</v>
      </c>
      <c r="P12" s="21">
        <f t="shared" si="7"/>
        <v>-3389</v>
      </c>
      <c r="Q12" s="58">
        <f t="shared" si="8"/>
        <v>-0.13484263717025424</v>
      </c>
    </row>
    <row r="13" spans="1:17" ht="11.25" customHeight="1" x14ac:dyDescent="0.2">
      <c r="A13" s="87" t="s">
        <v>8</v>
      </c>
      <c r="B13" s="93">
        <v>3580</v>
      </c>
      <c r="C13" s="43">
        <v>4128</v>
      </c>
      <c r="D13" s="22">
        <f t="shared" si="0"/>
        <v>548</v>
      </c>
      <c r="E13" s="61">
        <f t="shared" si="1"/>
        <v>0.15307262569832403</v>
      </c>
      <c r="F13" s="93">
        <v>13757</v>
      </c>
      <c r="G13" s="43">
        <v>13231</v>
      </c>
      <c r="H13" s="22">
        <f t="shared" si="2"/>
        <v>-526</v>
      </c>
      <c r="I13" s="61">
        <f t="shared" si="3"/>
        <v>-3.8235080322744787E-2</v>
      </c>
      <c r="J13" s="93">
        <v>8362</v>
      </c>
      <c r="K13" s="43">
        <v>8347</v>
      </c>
      <c r="L13" s="22">
        <f t="shared" si="4"/>
        <v>-15</v>
      </c>
      <c r="M13" s="59">
        <f t="shared" si="5"/>
        <v>-1.7938292274575461E-3</v>
      </c>
      <c r="N13" s="35">
        <f t="shared" si="9"/>
        <v>25699</v>
      </c>
      <c r="O13" s="31">
        <f t="shared" si="6"/>
        <v>25706</v>
      </c>
      <c r="P13" s="22">
        <f t="shared" si="7"/>
        <v>7</v>
      </c>
      <c r="Q13" s="59">
        <f t="shared" si="8"/>
        <v>2.7238413946067941E-4</v>
      </c>
    </row>
    <row r="14" spans="1:17" ht="11.25" customHeight="1" x14ac:dyDescent="0.2">
      <c r="A14" s="20" t="s">
        <v>9</v>
      </c>
      <c r="B14" s="92">
        <v>3636</v>
      </c>
      <c r="C14" s="42">
        <v>3430</v>
      </c>
      <c r="D14" s="21">
        <f t="shared" si="0"/>
        <v>-206</v>
      </c>
      <c r="E14" s="60">
        <f t="shared" si="1"/>
        <v>-5.6655665566556657E-2</v>
      </c>
      <c r="F14" s="92">
        <v>13685</v>
      </c>
      <c r="G14" s="42">
        <v>11567</v>
      </c>
      <c r="H14" s="21">
        <f t="shared" si="2"/>
        <v>-2118</v>
      </c>
      <c r="I14" s="60">
        <f t="shared" si="3"/>
        <v>-0.15476799415418341</v>
      </c>
      <c r="J14" s="92">
        <v>7950</v>
      </c>
      <c r="K14" s="42">
        <v>6290</v>
      </c>
      <c r="L14" s="21">
        <f t="shared" si="4"/>
        <v>-1660</v>
      </c>
      <c r="M14" s="58">
        <f t="shared" si="5"/>
        <v>-0.20880503144654089</v>
      </c>
      <c r="N14" s="33">
        <f t="shared" si="9"/>
        <v>25271</v>
      </c>
      <c r="O14" s="30">
        <f t="shared" si="6"/>
        <v>21287</v>
      </c>
      <c r="P14" s="21">
        <f t="shared" si="7"/>
        <v>-3984</v>
      </c>
      <c r="Q14" s="58">
        <f t="shared" si="8"/>
        <v>-0.15765106248268768</v>
      </c>
    </row>
    <row r="15" spans="1:17" ht="11.25" customHeight="1" x14ac:dyDescent="0.2">
      <c r="A15" s="20" t="s">
        <v>10</v>
      </c>
      <c r="B15" s="92">
        <v>3450</v>
      </c>
      <c r="C15" s="42">
        <v>3813</v>
      </c>
      <c r="D15" s="21">
        <f t="shared" si="0"/>
        <v>363</v>
      </c>
      <c r="E15" s="60">
        <f t="shared" si="1"/>
        <v>0.10521739130434783</v>
      </c>
      <c r="F15" s="92">
        <v>12907</v>
      </c>
      <c r="G15" s="42">
        <v>11785</v>
      </c>
      <c r="H15" s="21">
        <f t="shared" si="2"/>
        <v>-1122</v>
      </c>
      <c r="I15" s="60">
        <f t="shared" si="3"/>
        <v>-8.692957309986829E-2</v>
      </c>
      <c r="J15" s="92">
        <v>7985</v>
      </c>
      <c r="K15" s="42">
        <v>7924</v>
      </c>
      <c r="L15" s="21">
        <f t="shared" si="4"/>
        <v>-61</v>
      </c>
      <c r="M15" s="58">
        <f t="shared" si="5"/>
        <v>-7.6393237319974956E-3</v>
      </c>
      <c r="N15" s="33">
        <f t="shared" si="9"/>
        <v>24342</v>
      </c>
      <c r="O15" s="30">
        <f t="shared" si="6"/>
        <v>23522</v>
      </c>
      <c r="P15" s="21">
        <f t="shared" si="7"/>
        <v>-820</v>
      </c>
      <c r="Q15" s="58">
        <f t="shared" si="8"/>
        <v>-3.3686632158409335E-2</v>
      </c>
    </row>
    <row r="16" spans="1:17" ht="11.25" customHeight="1" x14ac:dyDescent="0.2">
      <c r="A16" s="87" t="s">
        <v>11</v>
      </c>
      <c r="B16" s="93">
        <v>3634</v>
      </c>
      <c r="C16" s="43">
        <v>3593</v>
      </c>
      <c r="D16" s="22">
        <f t="shared" si="0"/>
        <v>-41</v>
      </c>
      <c r="E16" s="61">
        <f t="shared" si="1"/>
        <v>-1.1282333516785911E-2</v>
      </c>
      <c r="F16" s="93">
        <v>13099</v>
      </c>
      <c r="G16" s="43">
        <v>13523</v>
      </c>
      <c r="H16" s="22">
        <f t="shared" si="2"/>
        <v>424</v>
      </c>
      <c r="I16" s="61">
        <f t="shared" si="3"/>
        <v>3.2368883120848922E-2</v>
      </c>
      <c r="J16" s="93">
        <v>9006</v>
      </c>
      <c r="K16" s="43">
        <v>7485</v>
      </c>
      <c r="L16" s="22">
        <f t="shared" si="4"/>
        <v>-1521</v>
      </c>
      <c r="M16" s="59">
        <f t="shared" si="5"/>
        <v>-0.16888740839440372</v>
      </c>
      <c r="N16" s="35">
        <f t="shared" si="9"/>
        <v>25739</v>
      </c>
      <c r="O16" s="31">
        <f t="shared" si="6"/>
        <v>24601</v>
      </c>
      <c r="P16" s="22">
        <f t="shared" si="7"/>
        <v>-1138</v>
      </c>
      <c r="Q16" s="59">
        <f t="shared" si="8"/>
        <v>-4.4213061890516339E-2</v>
      </c>
    </row>
    <row r="17" spans="1:21" ht="11.25" customHeight="1" x14ac:dyDescent="0.2">
      <c r="A17" s="20" t="s">
        <v>12</v>
      </c>
      <c r="B17" s="92">
        <v>3386</v>
      </c>
      <c r="C17" s="42">
        <v>3359</v>
      </c>
      <c r="D17" s="21">
        <f t="shared" si="0"/>
        <v>-27</v>
      </c>
      <c r="E17" s="60">
        <f t="shared" si="1"/>
        <v>-7.9740106320141755E-3</v>
      </c>
      <c r="F17" s="92">
        <v>12252</v>
      </c>
      <c r="G17" s="42">
        <v>11696</v>
      </c>
      <c r="H17" s="21">
        <f t="shared" si="2"/>
        <v>-556</v>
      </c>
      <c r="I17" s="60">
        <f t="shared" si="3"/>
        <v>-4.5380346065948415E-2</v>
      </c>
      <c r="J17" s="92">
        <v>6452</v>
      </c>
      <c r="K17" s="42">
        <v>6994</v>
      </c>
      <c r="L17" s="21">
        <f t="shared" si="4"/>
        <v>542</v>
      </c>
      <c r="M17" s="58">
        <f t="shared" si="5"/>
        <v>8.400495970241785E-2</v>
      </c>
      <c r="N17" s="33">
        <f t="shared" si="9"/>
        <v>22090</v>
      </c>
      <c r="O17" s="30">
        <f t="shared" si="6"/>
        <v>22049</v>
      </c>
      <c r="P17" s="21">
        <f t="shared" si="7"/>
        <v>-41</v>
      </c>
      <c r="Q17" s="58">
        <f t="shared" si="8"/>
        <v>-1.8560434585785423E-3</v>
      </c>
    </row>
    <row r="18" spans="1:21" ht="11.25" customHeight="1" x14ac:dyDescent="0.2">
      <c r="A18" s="20" t="s">
        <v>13</v>
      </c>
      <c r="B18" s="92">
        <v>3093</v>
      </c>
      <c r="C18" s="42">
        <v>3272</v>
      </c>
      <c r="D18" s="21">
        <f t="shared" si="0"/>
        <v>179</v>
      </c>
      <c r="E18" s="60">
        <f t="shared" si="1"/>
        <v>5.7872615583575815E-2</v>
      </c>
      <c r="F18" s="92">
        <v>8884</v>
      </c>
      <c r="G18" s="42">
        <v>5913</v>
      </c>
      <c r="H18" s="21">
        <f t="shared" si="2"/>
        <v>-2971</v>
      </c>
      <c r="I18" s="60">
        <f t="shared" si="3"/>
        <v>-0.33442143178748313</v>
      </c>
      <c r="J18" s="92">
        <v>6561</v>
      </c>
      <c r="K18" s="42">
        <v>6218</v>
      </c>
      <c r="L18" s="21">
        <f t="shared" si="4"/>
        <v>-343</v>
      </c>
      <c r="M18" s="58">
        <f t="shared" si="5"/>
        <v>-5.2278616064624292E-2</v>
      </c>
      <c r="N18" s="33">
        <f t="shared" si="9"/>
        <v>18538</v>
      </c>
      <c r="O18" s="30">
        <f t="shared" si="6"/>
        <v>15403</v>
      </c>
      <c r="P18" s="21">
        <f t="shared" si="7"/>
        <v>-3135</v>
      </c>
      <c r="Q18" s="58">
        <f t="shared" si="8"/>
        <v>-0.16911209407703096</v>
      </c>
    </row>
    <row r="19" spans="1:21" ht="11.25" customHeight="1" x14ac:dyDescent="0.2">
      <c r="A19" s="87" t="s">
        <v>14</v>
      </c>
      <c r="B19" s="93">
        <v>3667</v>
      </c>
      <c r="C19" s="43">
        <v>3804</v>
      </c>
      <c r="D19" s="22">
        <f t="shared" si="0"/>
        <v>137</v>
      </c>
      <c r="E19" s="61">
        <f t="shared" si="1"/>
        <v>3.7360239978183801E-2</v>
      </c>
      <c r="F19" s="93">
        <v>12440</v>
      </c>
      <c r="G19" s="43">
        <v>13989</v>
      </c>
      <c r="H19" s="22">
        <f t="shared" si="2"/>
        <v>1549</v>
      </c>
      <c r="I19" s="61">
        <f t="shared" si="3"/>
        <v>0.1245176848874598</v>
      </c>
      <c r="J19" s="93">
        <v>7553</v>
      </c>
      <c r="K19" s="43">
        <v>6957</v>
      </c>
      <c r="L19" s="22">
        <f t="shared" si="4"/>
        <v>-596</v>
      </c>
      <c r="M19" s="59">
        <f t="shared" si="5"/>
        <v>-7.8909042764464449E-2</v>
      </c>
      <c r="N19" s="35">
        <f t="shared" si="9"/>
        <v>23660</v>
      </c>
      <c r="O19" s="31">
        <f t="shared" si="6"/>
        <v>24750</v>
      </c>
      <c r="P19" s="22">
        <f t="shared" si="7"/>
        <v>1090</v>
      </c>
      <c r="Q19" s="59">
        <f t="shared" si="8"/>
        <v>4.6069315300084533E-2</v>
      </c>
    </row>
    <row r="20" spans="1:21" ht="11.25" customHeight="1" x14ac:dyDescent="0.2">
      <c r="A20" s="20" t="s">
        <v>15</v>
      </c>
      <c r="B20" s="92">
        <v>4012</v>
      </c>
      <c r="C20" s="42"/>
      <c r="D20" s="21" t="str">
        <f t="shared" si="0"/>
        <v/>
      </c>
      <c r="E20" s="60" t="str">
        <f t="shared" si="1"/>
        <v/>
      </c>
      <c r="F20" s="92">
        <v>11957</v>
      </c>
      <c r="G20" s="42"/>
      <c r="H20" s="21" t="str">
        <f t="shared" si="2"/>
        <v/>
      </c>
      <c r="I20" s="60" t="str">
        <f t="shared" si="3"/>
        <v/>
      </c>
      <c r="J20" s="92">
        <v>8241</v>
      </c>
      <c r="K20" s="42"/>
      <c r="L20" s="21" t="str">
        <f t="shared" si="4"/>
        <v/>
      </c>
      <c r="M20" s="58" t="str">
        <f t="shared" si="5"/>
        <v/>
      </c>
      <c r="N20" s="33">
        <f t="shared" si="9"/>
        <v>24210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92">
        <v>3545</v>
      </c>
      <c r="C21" s="42"/>
      <c r="D21" s="21" t="str">
        <f t="shared" si="0"/>
        <v/>
      </c>
      <c r="E21" s="60" t="str">
        <f t="shared" si="1"/>
        <v/>
      </c>
      <c r="F21" s="92">
        <v>12135</v>
      </c>
      <c r="G21" s="42"/>
      <c r="H21" s="21" t="str">
        <f t="shared" si="2"/>
        <v/>
      </c>
      <c r="I21" s="60" t="str">
        <f t="shared" si="3"/>
        <v/>
      </c>
      <c r="J21" s="92">
        <v>7564</v>
      </c>
      <c r="K21" s="42"/>
      <c r="L21" s="21" t="str">
        <f t="shared" si="4"/>
        <v/>
      </c>
      <c r="M21" s="58" t="str">
        <f t="shared" si="5"/>
        <v/>
      </c>
      <c r="N21" s="33">
        <f t="shared" si="9"/>
        <v>23244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94">
        <v>3084</v>
      </c>
      <c r="C22" s="44"/>
      <c r="D22" s="21" t="str">
        <f t="shared" si="0"/>
        <v/>
      </c>
      <c r="E22" s="88" t="str">
        <f t="shared" si="1"/>
        <v/>
      </c>
      <c r="F22" s="94">
        <v>10649</v>
      </c>
      <c r="G22" s="44"/>
      <c r="H22" s="21" t="str">
        <f t="shared" si="2"/>
        <v/>
      </c>
      <c r="I22" s="88" t="str">
        <f t="shared" si="3"/>
        <v/>
      </c>
      <c r="J22" s="94">
        <v>6349</v>
      </c>
      <c r="K22" s="44"/>
      <c r="L22" s="21" t="str">
        <f t="shared" si="4"/>
        <v/>
      </c>
      <c r="M22" s="52" t="str">
        <f t="shared" si="5"/>
        <v/>
      </c>
      <c r="N22" s="34">
        <f t="shared" si="9"/>
        <v>20082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 x14ac:dyDescent="0.25">
      <c r="A23" s="39" t="s">
        <v>3</v>
      </c>
      <c r="B23" s="36">
        <f>IF(C24&lt;7,B24,B25)</f>
        <v>30949</v>
      </c>
      <c r="C23" s="37">
        <f>IF(C11="","",SUM(C11:C22))</f>
        <v>32188</v>
      </c>
      <c r="D23" s="38">
        <f>IF(D11="","",SUM(D11:D22))</f>
        <v>1239</v>
      </c>
      <c r="E23" s="53">
        <f t="shared" si="1"/>
        <v>4.0033603670554786E-2</v>
      </c>
      <c r="F23" s="36">
        <f>IF(G24&lt;7,F24,F25)</f>
        <v>112406</v>
      </c>
      <c r="G23" s="37">
        <f>IF(G11="","",SUM(G11:G22))</f>
        <v>104387</v>
      </c>
      <c r="H23" s="38">
        <f>IF(H11="","",SUM(H11:H22))</f>
        <v>-8019</v>
      </c>
      <c r="I23" s="53">
        <f t="shared" si="3"/>
        <v>-7.1339608205967658E-2</v>
      </c>
      <c r="J23" s="36">
        <f>IF(K24&lt;7,J24,J25)</f>
        <v>69764</v>
      </c>
      <c r="K23" s="37">
        <f>IF(K11="","",SUM(K11:K22))</f>
        <v>63511</v>
      </c>
      <c r="L23" s="38">
        <f>IF(L11="","",SUM(L11:L22))</f>
        <v>-6253</v>
      </c>
      <c r="M23" s="53">
        <f t="shared" si="5"/>
        <v>-8.963075511725245E-2</v>
      </c>
      <c r="N23" s="36">
        <f>IF(O24&lt;7,N24,N25)</f>
        <v>213119</v>
      </c>
      <c r="O23" s="37">
        <f>IF(O11="","",SUM(O11:O22))</f>
        <v>200086</v>
      </c>
      <c r="P23" s="38">
        <f>IF(P11="","",SUM(P11:P22))</f>
        <v>-13033</v>
      </c>
      <c r="Q23" s="53">
        <f t="shared" si="8"/>
        <v>-6.1153627785415658E-2</v>
      </c>
    </row>
    <row r="24" spans="1:21" ht="11.25" customHeight="1" x14ac:dyDescent="0.2">
      <c r="A24" s="102" t="s">
        <v>28</v>
      </c>
      <c r="B24" s="103" t="str">
        <f>IF(C24=1,B11,IF(C24=2,SUM(B11:B12),IF(C24=3,SUM(B11:B13),IF(C24=4,SUM(B11:B14),IF(C24=5,SUM(B11:B15),IF(C24=6,SUM(B11:B16),""))))))</f>
        <v/>
      </c>
      <c r="C24" s="103">
        <f>COUNTIF(C11:C22,"&gt;0")</f>
        <v>9</v>
      </c>
      <c r="D24" s="103"/>
      <c r="E24" s="104"/>
      <c r="F24" s="103" t="str">
        <f>IF(G24=1,F11,IF(G24=2,SUM(F11:F12),IF(G24=3,SUM(F11:F13),IF(G24=4,SUM(F11:F14),IF(G24=5,SUM(F11:F15),IF(G24=6,SUM(F11:F16),""))))))</f>
        <v/>
      </c>
      <c r="G24" s="103">
        <f>COUNTIF(G11:G22,"&gt;0")</f>
        <v>9</v>
      </c>
      <c r="H24" s="103"/>
      <c r="I24" s="104"/>
      <c r="J24" s="103" t="str">
        <f>IF(K24=1,J11,IF(K24=2,SUM(J11:J12),IF(K24=3,SUM(J11:J13),IF(K24=4,SUM(J11:J14),IF(K24=5,SUM(J11:J15),IF(K24=6,SUM(J11:J16),""))))))</f>
        <v/>
      </c>
      <c r="K24" s="103">
        <f>COUNTIF(K11:K22,"&gt;0")</f>
        <v>9</v>
      </c>
      <c r="L24" s="103"/>
      <c r="M24" s="104"/>
      <c r="N24" s="103" t="str">
        <f>IF(O24=1,N11,IF(O24=2,SUM(N11:N12),IF(O24=3,SUM(N11:N13),IF(O24=4,SUM(N11:N14),IF(O24=5,SUM(N11:N15),IF(O24=6,SUM(N11:N16),""))))))</f>
        <v/>
      </c>
      <c r="O24" s="103">
        <f>COUNTIF(O11:O22,"&gt;0")</f>
        <v>9</v>
      </c>
      <c r="P24" s="106"/>
      <c r="Q24" s="107"/>
      <c r="R24" s="105"/>
      <c r="S24" s="105"/>
    </row>
    <row r="25" spans="1:21" ht="11.25" customHeight="1" x14ac:dyDescent="0.2">
      <c r="B25" s="76">
        <f>IF(C24=7,SUM(B11:B17),IF(C24=8,SUM(B11:B18),IF(C24=9,SUM(B11:B19),IF(C24=10,SUM(B11:B20),IF(C24=11,SUM(B11:B21),SUM(B11:B22))))))</f>
        <v>30949</v>
      </c>
      <c r="F25" s="76">
        <f>IF(G24=7,SUM(F11:F17),IF(G24=8,SUM(F11:F18),IF(G24=9,SUM(F11:F19),IF(G24=10,SUM(F11:F20),IF(G24=11,SUM(F11:F21),SUM(F11:F22))))))</f>
        <v>112406</v>
      </c>
      <c r="J25" s="76">
        <f>IF(K24=7,SUM(J11:J17),IF(K24=8,SUM(J11:J18),IF(K24=9,SUM(J11:J19),IF(K24=10,SUM(J11:J20),IF(K24=11,SUM(J11:J21),SUM(J11:J22))))))</f>
        <v>69764</v>
      </c>
      <c r="N25" s="76">
        <f>IF(O24=7,SUM(N11:N17),IF(O24=8,SUM(N11:N18),IF(O24=9,SUM(N11:N19),IF(O24=10,SUM(N11:N20),IF(O24=11,SUM(N11:N21),SUM(N11:N22))))))</f>
        <v>213119</v>
      </c>
    </row>
    <row r="26" spans="1:21" ht="11.25" customHeight="1" x14ac:dyDescent="0.2">
      <c r="A26" s="7"/>
      <c r="B26" s="117" t="s">
        <v>22</v>
      </c>
      <c r="C26" s="143"/>
      <c r="D26" s="143"/>
      <c r="E26" s="143"/>
      <c r="F26" s="9"/>
    </row>
    <row r="27" spans="1:21" ht="11.25" customHeight="1" thickBot="1" x14ac:dyDescent="0.25">
      <c r="B27" s="144"/>
      <c r="C27" s="144"/>
      <c r="D27" s="144"/>
      <c r="E27" s="144"/>
    </row>
    <row r="28" spans="1:21" ht="11.25" customHeight="1" thickBot="1" x14ac:dyDescent="0.25">
      <c r="A28" s="25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</row>
    <row r="30" spans="1:21" ht="11.25" customHeight="1" thickBot="1" x14ac:dyDescent="0.25">
      <c r="A30" s="74" t="s">
        <v>24</v>
      </c>
      <c r="B30" s="11">
        <f>T43</f>
        <v>189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1" t="s">
        <v>23</v>
      </c>
      <c r="S30" s="142"/>
    </row>
    <row r="31" spans="1:21" ht="11.25" customHeight="1" x14ac:dyDescent="0.2">
      <c r="A31" s="20" t="s">
        <v>6</v>
      </c>
      <c r="B31" s="65">
        <f>IF(C11="","",B11/$R31)</f>
        <v>152.14285714285714</v>
      </c>
      <c r="C31" s="68">
        <f>IF(C11="","",C11/$S31)</f>
        <v>158.90909090909091</v>
      </c>
      <c r="D31" s="64">
        <f>IF(C31="","",C31-B31)</f>
        <v>6.7662337662337677</v>
      </c>
      <c r="E31" s="60">
        <f>IF(C31="","",(C31-B31)/ABS(B31))</f>
        <v>4.4472897994024763E-2</v>
      </c>
      <c r="F31" s="65">
        <f>IF(G11="","",F11/$R31)</f>
        <v>570.57142857142856</v>
      </c>
      <c r="G31" s="68">
        <f>IF(G11="","",G11/$S31)</f>
        <v>505.86363636363637</v>
      </c>
      <c r="H31" s="80">
        <f>IF(G31="","",G31-F31)</f>
        <v>-64.707792207792181</v>
      </c>
      <c r="I31" s="60">
        <f>IF(G31="","",(G31-F31)/ABS(F31))</f>
        <v>-0.11340874948786812</v>
      </c>
      <c r="J31" s="65">
        <f>IF(K11="","",J11/$R31)</f>
        <v>355.71428571428572</v>
      </c>
      <c r="K31" s="68">
        <f>IF(K11="","",K11/$S31)</f>
        <v>290.86363636363637</v>
      </c>
      <c r="L31" s="80">
        <f>IF(K31="","",K31-J31)</f>
        <v>-64.850649350649348</v>
      </c>
      <c r="M31" s="60">
        <f>IF(K31="","",(K31-J31)/ABS(J31))</f>
        <v>-0.18231106243154435</v>
      </c>
      <c r="N31" s="65">
        <f>IF(O11="","",N11/$R31)</f>
        <v>1078.4285714285713</v>
      </c>
      <c r="O31" s="68">
        <f>IF(O11="","",O11/$S31)</f>
        <v>955.63636363636363</v>
      </c>
      <c r="P31" s="80">
        <f>IF(O31="","",O31-N31)</f>
        <v>-122.79220779220771</v>
      </c>
      <c r="Q31" s="58">
        <f>IF(O31="","",(O31-N31)/ABS(N31))</f>
        <v>-0.113862161153193</v>
      </c>
      <c r="R31" s="56">
        <v>21</v>
      </c>
      <c r="S31" s="56">
        <v>22</v>
      </c>
      <c r="T31" s="77">
        <f>IF(OR(N31="",N31=0),"",R31)</f>
        <v>21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ref="B32:B42" si="10">IF(C12="","",B12/$R32)</f>
        <v>165.4</v>
      </c>
      <c r="C32" s="68">
        <f t="shared" ref="C32:C42" si="11">IF(C12="","",C12/$S32)</f>
        <v>164.65</v>
      </c>
      <c r="D32" s="64">
        <f t="shared" ref="D32:D42" si="12">IF(C32="","",C32-B32)</f>
        <v>-0.75</v>
      </c>
      <c r="E32" s="60">
        <f t="shared" ref="E32:E43" si="13">IF(C32="","",(C32-B32)/ABS(B32))</f>
        <v>-4.5344619105199511E-3</v>
      </c>
      <c r="F32" s="65">
        <f t="shared" ref="F32:F42" si="14">IF(G12="","",F12/$R32)</f>
        <v>670</v>
      </c>
      <c r="G32" s="68">
        <f t="shared" ref="G32:G42" si="15">IF(G12="","",G12/$S32)</f>
        <v>577.70000000000005</v>
      </c>
      <c r="H32" s="80">
        <f t="shared" ref="H32:H42" si="16">IF(G32="","",G32-F32)</f>
        <v>-92.299999999999955</v>
      </c>
      <c r="I32" s="60">
        <f t="shared" ref="I32:I43" si="17">IF(G32="","",(G32-F32)/ABS(F32))</f>
        <v>-0.13776119402985068</v>
      </c>
      <c r="J32" s="65">
        <f t="shared" ref="J32:J42" si="18">IF(K12="","",J12/$R32)</f>
        <v>421.25</v>
      </c>
      <c r="K32" s="68">
        <f t="shared" ref="K32:K42" si="19">IF(K12="","",K12/$S32)</f>
        <v>344.85</v>
      </c>
      <c r="L32" s="80">
        <f t="shared" ref="L32:L42" si="20">IF(K32="","",K32-J32)</f>
        <v>-76.399999999999977</v>
      </c>
      <c r="M32" s="60">
        <f t="shared" ref="M32:M43" si="21">IF(K32="","",(K32-J32)/ABS(J32))</f>
        <v>-0.18136498516320471</v>
      </c>
      <c r="N32" s="65">
        <f t="shared" ref="N32:N42" si="22">IF(O12="","",N12/$R32)</f>
        <v>1256.6500000000001</v>
      </c>
      <c r="O32" s="68">
        <f t="shared" ref="O32:O42" si="23">IF(O12="","",O12/$S32)</f>
        <v>1087.2</v>
      </c>
      <c r="P32" s="80">
        <f t="shared" ref="P32:P42" si="24">IF(O32="","",O32-N32)</f>
        <v>-169.45000000000005</v>
      </c>
      <c r="Q32" s="58">
        <f t="shared" ref="Q32:Q43" si="25">IF(O32="","",(O32-N32)/ABS(N32))</f>
        <v>-0.13484263717025427</v>
      </c>
      <c r="R32" s="56">
        <v>20</v>
      </c>
      <c r="S32" s="56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41" t="s">
        <v>8</v>
      </c>
      <c r="B33" s="66">
        <f t="shared" si="10"/>
        <v>162.72727272727272</v>
      </c>
      <c r="C33" s="69">
        <f t="shared" si="11"/>
        <v>179.47826086956522</v>
      </c>
      <c r="D33" s="71">
        <f t="shared" si="12"/>
        <v>16.750988142292499</v>
      </c>
      <c r="E33" s="61">
        <f t="shared" si="13"/>
        <v>0.10293903327665782</v>
      </c>
      <c r="F33" s="66">
        <f t="shared" si="14"/>
        <v>625.31818181818187</v>
      </c>
      <c r="G33" s="69">
        <f t="shared" si="15"/>
        <v>575.26086956521738</v>
      </c>
      <c r="H33" s="81">
        <f t="shared" si="16"/>
        <v>-50.057312252964493</v>
      </c>
      <c r="I33" s="61">
        <f t="shared" si="17"/>
        <v>-8.0050946395669023E-2</v>
      </c>
      <c r="J33" s="66">
        <f t="shared" si="18"/>
        <v>380.09090909090907</v>
      </c>
      <c r="K33" s="69">
        <f t="shared" si="19"/>
        <v>362.91304347826087</v>
      </c>
      <c r="L33" s="81">
        <f t="shared" si="20"/>
        <v>-17.177865612648191</v>
      </c>
      <c r="M33" s="61">
        <f t="shared" si="21"/>
        <v>-4.5194097521915833E-2</v>
      </c>
      <c r="N33" s="66">
        <f t="shared" si="22"/>
        <v>1168.1363636363637</v>
      </c>
      <c r="O33" s="69">
        <f t="shared" si="23"/>
        <v>1117.6521739130435</v>
      </c>
      <c r="P33" s="81">
        <f t="shared" si="24"/>
        <v>-50.484189723320242</v>
      </c>
      <c r="Q33" s="59">
        <f t="shared" si="25"/>
        <v>-4.3217719518776808E-2</v>
      </c>
      <c r="R33" s="85">
        <v>22</v>
      </c>
      <c r="S33" s="85">
        <v>23</v>
      </c>
      <c r="T33" s="77">
        <f t="shared" si="26"/>
        <v>22</v>
      </c>
      <c r="U33" s="77">
        <f t="shared" si="26"/>
        <v>23</v>
      </c>
    </row>
    <row r="34" spans="1:21" ht="11.25" customHeight="1" x14ac:dyDescent="0.2">
      <c r="A34" s="20" t="s">
        <v>9</v>
      </c>
      <c r="B34" s="65">
        <f t="shared" si="10"/>
        <v>181.8</v>
      </c>
      <c r="C34" s="68">
        <f t="shared" si="11"/>
        <v>190.55555555555554</v>
      </c>
      <c r="D34" s="64">
        <f t="shared" si="12"/>
        <v>8.7555555555555316</v>
      </c>
      <c r="E34" s="60">
        <f t="shared" si="13"/>
        <v>4.816037159271469E-2</v>
      </c>
      <c r="F34" s="65">
        <f t="shared" si="14"/>
        <v>684.25</v>
      </c>
      <c r="G34" s="68">
        <f t="shared" si="15"/>
        <v>642.61111111111109</v>
      </c>
      <c r="H34" s="80">
        <f t="shared" si="16"/>
        <v>-41.638888888888914</v>
      </c>
      <c r="I34" s="60">
        <f t="shared" si="17"/>
        <v>-6.0853326837981607E-2</v>
      </c>
      <c r="J34" s="65">
        <f t="shared" si="18"/>
        <v>397.5</v>
      </c>
      <c r="K34" s="68">
        <f t="shared" si="19"/>
        <v>349.44444444444446</v>
      </c>
      <c r="L34" s="80">
        <f t="shared" si="20"/>
        <v>-48.055555555555543</v>
      </c>
      <c r="M34" s="60">
        <f t="shared" si="21"/>
        <v>-0.1208944793850454</v>
      </c>
      <c r="N34" s="65">
        <f t="shared" si="22"/>
        <v>1263.55</v>
      </c>
      <c r="O34" s="68">
        <f t="shared" si="23"/>
        <v>1182.6111111111111</v>
      </c>
      <c r="P34" s="80">
        <f t="shared" si="24"/>
        <v>-80.938888888888869</v>
      </c>
      <c r="Q34" s="58">
        <f t="shared" si="25"/>
        <v>-6.4056736091875177E-2</v>
      </c>
      <c r="R34" s="56">
        <v>20</v>
      </c>
      <c r="S34" s="56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10</v>
      </c>
      <c r="B35" s="65">
        <f t="shared" si="10"/>
        <v>191.66666666666666</v>
      </c>
      <c r="C35" s="68">
        <f t="shared" si="11"/>
        <v>181.57142857142858</v>
      </c>
      <c r="D35" s="64">
        <f t="shared" si="12"/>
        <v>-10.095238095238074</v>
      </c>
      <c r="E35" s="60">
        <f t="shared" si="13"/>
        <v>-5.2670807453416041E-2</v>
      </c>
      <c r="F35" s="65">
        <f t="shared" si="14"/>
        <v>717.05555555555554</v>
      </c>
      <c r="G35" s="68">
        <f t="shared" si="15"/>
        <v>561.19047619047615</v>
      </c>
      <c r="H35" s="80">
        <f t="shared" si="16"/>
        <v>-155.8650793650794</v>
      </c>
      <c r="I35" s="60">
        <f t="shared" si="17"/>
        <v>-0.21736820551417285</v>
      </c>
      <c r="J35" s="65">
        <f t="shared" si="18"/>
        <v>443.61111111111109</v>
      </c>
      <c r="K35" s="68">
        <f t="shared" si="19"/>
        <v>377.33333333333331</v>
      </c>
      <c r="L35" s="80">
        <f t="shared" si="20"/>
        <v>-66.277777777777771</v>
      </c>
      <c r="M35" s="60">
        <f t="shared" si="21"/>
        <v>-0.14940513462742641</v>
      </c>
      <c r="N35" s="65">
        <f t="shared" si="22"/>
        <v>1352.3333333333333</v>
      </c>
      <c r="O35" s="68">
        <f t="shared" si="23"/>
        <v>1120.0952380952381</v>
      </c>
      <c r="P35" s="80">
        <f t="shared" si="24"/>
        <v>-232.23809523809518</v>
      </c>
      <c r="Q35" s="58">
        <f t="shared" si="25"/>
        <v>-0.17173139899292225</v>
      </c>
      <c r="R35" s="56">
        <v>18</v>
      </c>
      <c r="S35" s="56">
        <v>21</v>
      </c>
      <c r="T35" s="77">
        <f t="shared" si="26"/>
        <v>18</v>
      </c>
      <c r="U35" s="77">
        <f t="shared" si="26"/>
        <v>21</v>
      </c>
    </row>
    <row r="36" spans="1:21" ht="11.25" customHeight="1" x14ac:dyDescent="0.2">
      <c r="A36" s="41" t="s">
        <v>11</v>
      </c>
      <c r="B36" s="66">
        <f t="shared" si="10"/>
        <v>165.18181818181819</v>
      </c>
      <c r="C36" s="69">
        <f t="shared" si="11"/>
        <v>163.31818181818181</v>
      </c>
      <c r="D36" s="71">
        <f t="shared" si="12"/>
        <v>-1.863636363636374</v>
      </c>
      <c r="E36" s="61">
        <f t="shared" si="13"/>
        <v>-1.1282333516785974E-2</v>
      </c>
      <c r="F36" s="66">
        <f t="shared" si="14"/>
        <v>595.40909090909088</v>
      </c>
      <c r="G36" s="69">
        <f t="shared" si="15"/>
        <v>614.68181818181813</v>
      </c>
      <c r="H36" s="81">
        <f t="shared" si="16"/>
        <v>19.272727272727252</v>
      </c>
      <c r="I36" s="61">
        <f t="shared" si="17"/>
        <v>3.2368883120848888E-2</v>
      </c>
      <c r="J36" s="66">
        <f t="shared" si="18"/>
        <v>409.36363636363637</v>
      </c>
      <c r="K36" s="69">
        <f t="shared" si="19"/>
        <v>340.22727272727275</v>
      </c>
      <c r="L36" s="81">
        <f t="shared" si="20"/>
        <v>-69.136363636363626</v>
      </c>
      <c r="M36" s="61">
        <f t="shared" si="21"/>
        <v>-0.16888740839440369</v>
      </c>
      <c r="N36" s="66">
        <f t="shared" si="22"/>
        <v>1169.9545454545455</v>
      </c>
      <c r="O36" s="69">
        <f t="shared" si="23"/>
        <v>1118.2272727272727</v>
      </c>
      <c r="P36" s="81">
        <f t="shared" si="24"/>
        <v>-51.727272727272748</v>
      </c>
      <c r="Q36" s="59">
        <f t="shared" si="25"/>
        <v>-4.4213061890516353E-2</v>
      </c>
      <c r="R36" s="85">
        <v>22</v>
      </c>
      <c r="S36" s="85">
        <v>22</v>
      </c>
      <c r="T36" s="77">
        <f t="shared" si="26"/>
        <v>22</v>
      </c>
      <c r="U36" s="77">
        <f t="shared" si="26"/>
        <v>22</v>
      </c>
    </row>
    <row r="37" spans="1:21" ht="11.25" customHeight="1" x14ac:dyDescent="0.2">
      <c r="A37" s="20" t="s">
        <v>12</v>
      </c>
      <c r="B37" s="65">
        <f t="shared" si="10"/>
        <v>147.21739130434781</v>
      </c>
      <c r="C37" s="68">
        <f t="shared" si="11"/>
        <v>159.95238095238096</v>
      </c>
      <c r="D37" s="64">
        <f t="shared" si="12"/>
        <v>12.734989648033149</v>
      </c>
      <c r="E37" s="60">
        <f t="shared" si="13"/>
        <v>8.6504655022079879E-2</v>
      </c>
      <c r="F37" s="65">
        <f t="shared" si="14"/>
        <v>532.695652173913</v>
      </c>
      <c r="G37" s="68">
        <f t="shared" si="15"/>
        <v>556.95238095238096</v>
      </c>
      <c r="H37" s="80">
        <f t="shared" si="16"/>
        <v>24.256728778467959</v>
      </c>
      <c r="I37" s="60">
        <f t="shared" si="17"/>
        <v>4.55358114515804E-2</v>
      </c>
      <c r="J37" s="65">
        <f t="shared" si="18"/>
        <v>280.52173913043481</v>
      </c>
      <c r="K37" s="68">
        <f t="shared" si="19"/>
        <v>333.04761904761904</v>
      </c>
      <c r="L37" s="80">
        <f t="shared" si="20"/>
        <v>52.525879917184227</v>
      </c>
      <c r="M37" s="60">
        <f t="shared" si="21"/>
        <v>0.18724352729312416</v>
      </c>
      <c r="N37" s="65">
        <f t="shared" si="22"/>
        <v>960.43478260869563</v>
      </c>
      <c r="O37" s="68">
        <f t="shared" si="23"/>
        <v>1049.952380952381</v>
      </c>
      <c r="P37" s="80">
        <f t="shared" si="24"/>
        <v>89.517598343685336</v>
      </c>
      <c r="Q37" s="58">
        <f t="shared" si="25"/>
        <v>9.3205285735842594E-2</v>
      </c>
      <c r="R37" s="56">
        <v>23</v>
      </c>
      <c r="S37" s="56">
        <v>21</v>
      </c>
      <c r="T37" s="77">
        <f t="shared" si="26"/>
        <v>23</v>
      </c>
      <c r="U37" s="77">
        <f t="shared" si="26"/>
        <v>21</v>
      </c>
    </row>
    <row r="38" spans="1:21" ht="11.25" customHeight="1" x14ac:dyDescent="0.2">
      <c r="A38" s="20" t="s">
        <v>13</v>
      </c>
      <c r="B38" s="65">
        <f t="shared" si="10"/>
        <v>147.28571428571428</v>
      </c>
      <c r="C38" s="68">
        <f t="shared" si="11"/>
        <v>148.72727272727272</v>
      </c>
      <c r="D38" s="64">
        <f t="shared" si="12"/>
        <v>1.4415584415584419</v>
      </c>
      <c r="E38" s="60">
        <f t="shared" si="13"/>
        <v>9.7874966934132831E-3</v>
      </c>
      <c r="F38" s="65">
        <f t="shared" si="14"/>
        <v>423.04761904761904</v>
      </c>
      <c r="G38" s="68">
        <f t="shared" si="15"/>
        <v>268.77272727272725</v>
      </c>
      <c r="H38" s="80">
        <f t="shared" si="16"/>
        <v>-154.27489177489178</v>
      </c>
      <c r="I38" s="60">
        <f t="shared" si="17"/>
        <v>-0.36467500306987027</v>
      </c>
      <c r="J38" s="65">
        <f t="shared" si="18"/>
        <v>312.42857142857144</v>
      </c>
      <c r="K38" s="68">
        <f t="shared" si="19"/>
        <v>282.63636363636363</v>
      </c>
      <c r="L38" s="80">
        <f t="shared" si="20"/>
        <v>-29.792207792207819</v>
      </c>
      <c r="M38" s="60">
        <f t="shared" si="21"/>
        <v>-9.5356860788959635E-2</v>
      </c>
      <c r="N38" s="65">
        <f t="shared" si="22"/>
        <v>882.76190476190482</v>
      </c>
      <c r="O38" s="68">
        <f t="shared" si="23"/>
        <v>700.13636363636363</v>
      </c>
      <c r="P38" s="80">
        <f t="shared" si="24"/>
        <v>-182.62554112554119</v>
      </c>
      <c r="Q38" s="58">
        <f t="shared" si="25"/>
        <v>-0.2068797261644387</v>
      </c>
      <c r="R38" s="56">
        <v>21</v>
      </c>
      <c r="S38" s="56">
        <v>22</v>
      </c>
      <c r="T38" s="77">
        <f t="shared" si="26"/>
        <v>21</v>
      </c>
      <c r="U38" s="77">
        <f t="shared" si="26"/>
        <v>22</v>
      </c>
    </row>
    <row r="39" spans="1:21" ht="11.25" customHeight="1" x14ac:dyDescent="0.2">
      <c r="A39" s="41" t="s">
        <v>14</v>
      </c>
      <c r="B39" s="66">
        <f t="shared" si="10"/>
        <v>166.68181818181819</v>
      </c>
      <c r="C39" s="69">
        <f t="shared" si="11"/>
        <v>181.14285714285714</v>
      </c>
      <c r="D39" s="71">
        <f t="shared" si="12"/>
        <v>14.461038961038952</v>
      </c>
      <c r="E39" s="61">
        <f t="shared" si="13"/>
        <v>8.6758346643811546E-2</v>
      </c>
      <c r="F39" s="66">
        <f t="shared" si="14"/>
        <v>565.4545454545455</v>
      </c>
      <c r="G39" s="69">
        <f t="shared" si="15"/>
        <v>666.14285714285711</v>
      </c>
      <c r="H39" s="81">
        <f t="shared" si="16"/>
        <v>100.68831168831161</v>
      </c>
      <c r="I39" s="61">
        <f t="shared" si="17"/>
        <v>0.17806614607257679</v>
      </c>
      <c r="J39" s="66">
        <f t="shared" si="18"/>
        <v>343.31818181818181</v>
      </c>
      <c r="K39" s="69">
        <f t="shared" si="19"/>
        <v>331.28571428571428</v>
      </c>
      <c r="L39" s="81">
        <f t="shared" si="20"/>
        <v>-12.032467532467535</v>
      </c>
      <c r="M39" s="61">
        <f t="shared" si="21"/>
        <v>-3.5047568610391336E-2</v>
      </c>
      <c r="N39" s="66">
        <f t="shared" si="22"/>
        <v>1075.4545454545455</v>
      </c>
      <c r="O39" s="69">
        <f t="shared" si="23"/>
        <v>1178.5714285714287</v>
      </c>
      <c r="P39" s="81">
        <f t="shared" si="24"/>
        <v>103.11688311688317</v>
      </c>
      <c r="Q39" s="59">
        <f t="shared" si="25"/>
        <v>9.5882139838183847E-2</v>
      </c>
      <c r="R39" s="85">
        <v>22</v>
      </c>
      <c r="S39" s="85">
        <v>21</v>
      </c>
      <c r="T39" s="77">
        <f t="shared" si="26"/>
        <v>22</v>
      </c>
      <c r="U39" s="77">
        <f t="shared" si="26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22</v>
      </c>
      <c r="S40" s="56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2"/>
        <v/>
      </c>
      <c r="E42" s="60" t="str">
        <f t="shared" si="13"/>
        <v/>
      </c>
      <c r="F42" s="65" t="str">
        <f t="shared" si="14"/>
        <v/>
      </c>
      <c r="G42" s="68" t="str">
        <f t="shared" si="15"/>
        <v/>
      </c>
      <c r="H42" s="80" t="str">
        <f t="shared" si="16"/>
        <v/>
      </c>
      <c r="I42" s="60" t="str">
        <f t="shared" si="17"/>
        <v/>
      </c>
      <c r="J42" s="65" t="str">
        <f t="shared" si="18"/>
        <v/>
      </c>
      <c r="K42" s="68" t="str">
        <f t="shared" si="19"/>
        <v/>
      </c>
      <c r="L42" s="80" t="str">
        <f t="shared" si="20"/>
        <v/>
      </c>
      <c r="M42" s="60" t="str">
        <f t="shared" si="21"/>
        <v/>
      </c>
      <c r="N42" s="65" t="str">
        <f t="shared" si="22"/>
        <v/>
      </c>
      <c r="O42" s="68" t="str">
        <f t="shared" si="23"/>
        <v/>
      </c>
      <c r="P42" s="80" t="str">
        <f t="shared" si="24"/>
        <v/>
      </c>
      <c r="Q42" s="58" t="str">
        <f t="shared" si="25"/>
        <v/>
      </c>
      <c r="R42" s="56">
        <v>22</v>
      </c>
      <c r="S42" s="56">
        <v>19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40" t="s">
        <v>29</v>
      </c>
      <c r="B43" s="67">
        <f>AVERAGE(B31:B42)</f>
        <v>164.4559487211661</v>
      </c>
      <c r="C43" s="70">
        <f>IF(C11="","",AVERAGE(C31:C42))</f>
        <v>169.81166983848141</v>
      </c>
      <c r="D43" s="62">
        <f>IF(D31="","",AVERAGE(D31:D42))</f>
        <v>5.3557211173153219</v>
      </c>
      <c r="E43" s="54">
        <f t="shared" si="13"/>
        <v>3.2566296074798121E-2</v>
      </c>
      <c r="F43" s="67">
        <f>AVERAGE(F31:F42)</f>
        <v>598.20023039225941</v>
      </c>
      <c r="G43" s="70">
        <f>IF(G11="","",AVERAGE(G31:G42))</f>
        <v>552.13065297558046</v>
      </c>
      <c r="H43" s="82">
        <f>IF(H31="","",AVERAGE(H31:H42))</f>
        <v>-46.069577416678875</v>
      </c>
      <c r="I43" s="54">
        <f t="shared" si="17"/>
        <v>-7.7013640376683956E-2</v>
      </c>
      <c r="J43" s="67">
        <f>AVERAGE(J31:J42)</f>
        <v>371.53315940634786</v>
      </c>
      <c r="K43" s="70">
        <f>IF(K11="","",AVERAGE(K31:K42))</f>
        <v>334.73349192407164</v>
      </c>
      <c r="L43" s="82">
        <f>IF(L31="","",AVERAGE(L31:L42))</f>
        <v>-36.799667482276178</v>
      </c>
      <c r="M43" s="54">
        <f t="shared" si="21"/>
        <v>-9.9048137563485211E-2</v>
      </c>
      <c r="N43" s="67">
        <f>AVERAGE(N31:N42)</f>
        <v>1134.1893385197734</v>
      </c>
      <c r="O43" s="70">
        <f>IF(O11="","",AVERAGE(O31:O42))</f>
        <v>1056.6758147381338</v>
      </c>
      <c r="P43" s="82">
        <f>IF(P31="","",AVERAGE(P31:P42))</f>
        <v>-77.513523781639719</v>
      </c>
      <c r="Q43" s="55">
        <f t="shared" si="25"/>
        <v>-6.8342666562888205E-2</v>
      </c>
      <c r="R43" s="86">
        <f>SUM(R31:R42)</f>
        <v>254</v>
      </c>
      <c r="S43" s="86">
        <f>SUM(S31:S42)</f>
        <v>253</v>
      </c>
      <c r="T43" s="77">
        <f>SUM(T31:T42)</f>
        <v>189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09"/>
      <c r="C44" s="109">
        <f>COUNTIF(C31:C42,"&gt;0")</f>
        <v>9</v>
      </c>
      <c r="D44" s="110"/>
      <c r="E44" s="111"/>
      <c r="F44" s="109"/>
      <c r="G44" s="109">
        <f>COUNTIF(G31:G42,"&gt;0")</f>
        <v>9</v>
      </c>
      <c r="H44" s="110"/>
      <c r="I44" s="111"/>
      <c r="J44" s="109"/>
      <c r="K44" s="109">
        <f>COUNTIF(K31:K42,"&gt;0")</f>
        <v>9</v>
      </c>
      <c r="L44" s="110"/>
      <c r="M44" s="111"/>
      <c r="N44" s="109"/>
      <c r="O44" s="109">
        <f>COUNTIF(O31:O42,"&gt;0")</f>
        <v>9</v>
      </c>
      <c r="P44" s="114"/>
      <c r="Q44" s="116"/>
      <c r="R44" s="112"/>
      <c r="S44" s="112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2CgoitG/cL+o5WR2TQ6pfMRn5Fi3di0eeHWUNfUoHfVcpEIp0W/qOL9p6exw3eqylY8VzVSosJRpiRwPxK8LDA==" saltValue="utU5QHQuWByX/m2hRhXtNQ==" spinCount="100000" sheet="1" objects="1" scenarios="1" selectLockedCells="1" selectUnlockedCells="1"/>
  <mergeCells count="22"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  <mergeCell ref="J28:M28"/>
    <mergeCell ref="B6:E7"/>
    <mergeCell ref="B26:E27"/>
    <mergeCell ref="B2:E2"/>
    <mergeCell ref="B3:C3"/>
    <mergeCell ref="D3:E3"/>
  </mergeCells>
  <phoneticPr fontId="0" type="noConversion"/>
  <conditionalFormatting sqref="N13:N16 N18:N21">
    <cfRule type="expression" dxfId="63" priority="9" stopIfTrue="1">
      <formula>O13=""</formula>
    </cfRule>
  </conditionalFormatting>
  <conditionalFormatting sqref="N17 N12 N22">
    <cfRule type="expression" dxfId="62" priority="10" stopIfTrue="1">
      <formula>O12=""</formula>
    </cfRule>
  </conditionalFormatting>
  <conditionalFormatting sqref="R43:S43">
    <cfRule type="expression" dxfId="61" priority="11" stopIfTrue="1">
      <formula>R43&lt;$R43</formula>
    </cfRule>
    <cfRule type="expression" dxfId="60" priority="12" stopIfTrue="1">
      <formula>R43&gt;$R43</formula>
    </cfRule>
  </conditionalFormatting>
  <conditionalFormatting sqref="R31:R42">
    <cfRule type="expression" dxfId="59" priority="3" stopIfTrue="1">
      <formula>R31&lt;$R31</formula>
    </cfRule>
    <cfRule type="expression" dxfId="58" priority="4" stopIfTrue="1">
      <formula>R31&gt;$R31</formula>
    </cfRule>
  </conditionalFormatting>
  <conditionalFormatting sqref="S31:S42">
    <cfRule type="expression" dxfId="57" priority="1" stopIfTrue="1">
      <formula>S31&lt;$R31</formula>
    </cfRule>
    <cfRule type="expression" dxfId="56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0"/>
  <sheetViews>
    <sheetView showGridLines="0" zoomScaleNormal="10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83" t="s">
        <v>18</v>
      </c>
      <c r="B2" s="145" t="s">
        <v>26</v>
      </c>
      <c r="C2" s="145"/>
      <c r="D2" s="145"/>
      <c r="E2" s="145"/>
      <c r="Q2" s="79"/>
    </row>
    <row r="3" spans="1:17" ht="13.5" customHeight="1" x14ac:dyDescent="0.2">
      <c r="A3" s="1"/>
      <c r="B3" s="126" t="s">
        <v>20</v>
      </c>
      <c r="C3" s="126"/>
      <c r="D3" s="147" t="s">
        <v>19</v>
      </c>
      <c r="E3" s="147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17" t="s">
        <v>30</v>
      </c>
      <c r="C6" s="118"/>
      <c r="D6" s="118"/>
      <c r="E6" s="118"/>
      <c r="F6" s="9"/>
    </row>
    <row r="7" spans="1:17" ht="11.25" customHeight="1" thickBot="1" x14ac:dyDescent="0.25">
      <c r="B7" s="119"/>
      <c r="C7" s="119"/>
      <c r="D7" s="119"/>
      <c r="E7" s="119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f>'BON-NS'!B9</f>
        <v>2016</v>
      </c>
      <c r="C9" s="46">
        <f>'BON-NS'!C9</f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92">
        <v>14892</v>
      </c>
      <c r="C11" s="42">
        <v>15397</v>
      </c>
      <c r="D11" s="21">
        <f t="shared" ref="D11:D22" si="0">IF(C11="","",C11-B11)</f>
        <v>505</v>
      </c>
      <c r="E11" s="60">
        <f t="shared" ref="E11:E23" si="1">IF(D11="","",D11/B11)</f>
        <v>3.391082460381413E-2</v>
      </c>
      <c r="F11" s="92">
        <v>16876</v>
      </c>
      <c r="G11" s="42">
        <v>17689</v>
      </c>
      <c r="H11" s="21">
        <f t="shared" ref="H11:H22" si="2">IF(G11="","",G11-F11)</f>
        <v>813</v>
      </c>
      <c r="I11" s="60">
        <f t="shared" ref="I11:I23" si="3">IF(H11="","",H11/F11)</f>
        <v>4.8174922967527851E-2</v>
      </c>
      <c r="J11" s="92">
        <v>2980</v>
      </c>
      <c r="K11" s="42">
        <v>2718</v>
      </c>
      <c r="L11" s="21">
        <f t="shared" ref="L11:L22" si="4">IF(K11="","",K11-J11)</f>
        <v>-262</v>
      </c>
      <c r="M11" s="58">
        <f t="shared" ref="M11:M23" si="5">IF(L11="","",L11/J11)</f>
        <v>-8.7919463087248323E-2</v>
      </c>
      <c r="N11" s="33">
        <f>SUM(B11,F11,J11)</f>
        <v>34748</v>
      </c>
      <c r="O11" s="30">
        <f t="shared" ref="O11:O22" si="6">IF(C11="","",SUM(C11,G11,K11))</f>
        <v>35804</v>
      </c>
      <c r="P11" s="21">
        <f t="shared" ref="P11:P22" si="7">IF(O11="","",O11-N11)</f>
        <v>1056</v>
      </c>
      <c r="Q11" s="58">
        <f t="shared" ref="Q11:Q23" si="8">IF(P11="","",P11/N11)</f>
        <v>3.039023828709566E-2</v>
      </c>
    </row>
    <row r="12" spans="1:17" ht="11.25" customHeight="1" x14ac:dyDescent="0.2">
      <c r="A12" s="20" t="s">
        <v>7</v>
      </c>
      <c r="B12" s="92">
        <v>17460</v>
      </c>
      <c r="C12" s="42">
        <v>16506</v>
      </c>
      <c r="D12" s="21">
        <f t="shared" si="0"/>
        <v>-954</v>
      </c>
      <c r="E12" s="60">
        <f t="shared" si="1"/>
        <v>-5.4639175257731959E-2</v>
      </c>
      <c r="F12" s="92">
        <v>19375</v>
      </c>
      <c r="G12" s="42">
        <v>18618</v>
      </c>
      <c r="H12" s="21">
        <f t="shared" si="2"/>
        <v>-757</v>
      </c>
      <c r="I12" s="60">
        <f t="shared" si="3"/>
        <v>-3.9070967741935483E-2</v>
      </c>
      <c r="J12" s="92">
        <v>3039</v>
      </c>
      <c r="K12" s="42">
        <v>2713</v>
      </c>
      <c r="L12" s="21">
        <f t="shared" si="4"/>
        <v>-326</v>
      </c>
      <c r="M12" s="58">
        <f t="shared" si="5"/>
        <v>-0.10727212898979928</v>
      </c>
      <c r="N12" s="33">
        <f t="shared" ref="N12:N22" si="9">SUM(B12,F12,J12)</f>
        <v>39874</v>
      </c>
      <c r="O12" s="30">
        <f t="shared" si="6"/>
        <v>37837</v>
      </c>
      <c r="P12" s="21">
        <f t="shared" si="7"/>
        <v>-2037</v>
      </c>
      <c r="Q12" s="58">
        <f t="shared" si="8"/>
        <v>-5.1085920650047648E-2</v>
      </c>
    </row>
    <row r="13" spans="1:17" ht="11.25" customHeight="1" x14ac:dyDescent="0.2">
      <c r="A13" s="87" t="s">
        <v>8</v>
      </c>
      <c r="B13" s="93">
        <v>18571</v>
      </c>
      <c r="C13" s="43">
        <v>19574</v>
      </c>
      <c r="D13" s="22">
        <f t="shared" si="0"/>
        <v>1003</v>
      </c>
      <c r="E13" s="61">
        <f t="shared" si="1"/>
        <v>5.4008938667815413E-2</v>
      </c>
      <c r="F13" s="93">
        <v>19963</v>
      </c>
      <c r="G13" s="43">
        <v>21521</v>
      </c>
      <c r="H13" s="22">
        <f t="shared" si="2"/>
        <v>1558</v>
      </c>
      <c r="I13" s="61">
        <f t="shared" si="3"/>
        <v>7.8044382106897764E-2</v>
      </c>
      <c r="J13" s="93">
        <v>3021</v>
      </c>
      <c r="K13" s="43">
        <v>2596</v>
      </c>
      <c r="L13" s="22">
        <f t="shared" si="4"/>
        <v>-425</v>
      </c>
      <c r="M13" s="59">
        <f t="shared" si="5"/>
        <v>-0.14068189341277723</v>
      </c>
      <c r="N13" s="35">
        <f t="shared" si="9"/>
        <v>41555</v>
      </c>
      <c r="O13" s="31">
        <f t="shared" si="6"/>
        <v>43691</v>
      </c>
      <c r="P13" s="22">
        <f t="shared" si="7"/>
        <v>2136</v>
      </c>
      <c r="Q13" s="59">
        <f t="shared" si="8"/>
        <v>5.1401756707977378E-2</v>
      </c>
    </row>
    <row r="14" spans="1:17" ht="11.25" customHeight="1" x14ac:dyDescent="0.2">
      <c r="A14" s="20" t="s">
        <v>9</v>
      </c>
      <c r="B14" s="92">
        <v>18912</v>
      </c>
      <c r="C14" s="42">
        <v>16421</v>
      </c>
      <c r="D14" s="21">
        <f t="shared" si="0"/>
        <v>-2491</v>
      </c>
      <c r="E14" s="60">
        <f t="shared" si="1"/>
        <v>-0.1317153130287648</v>
      </c>
      <c r="F14" s="92">
        <v>18919</v>
      </c>
      <c r="G14" s="42">
        <v>16827</v>
      </c>
      <c r="H14" s="21">
        <f t="shared" si="2"/>
        <v>-2092</v>
      </c>
      <c r="I14" s="60">
        <f t="shared" si="3"/>
        <v>-0.11057666895713304</v>
      </c>
      <c r="J14" s="92">
        <v>3232</v>
      </c>
      <c r="K14" s="42">
        <v>2106</v>
      </c>
      <c r="L14" s="21">
        <f t="shared" si="4"/>
        <v>-1126</v>
      </c>
      <c r="M14" s="58">
        <f t="shared" si="5"/>
        <v>-0.34839108910891087</v>
      </c>
      <c r="N14" s="33">
        <f t="shared" si="9"/>
        <v>41063</v>
      </c>
      <c r="O14" s="30">
        <f t="shared" si="6"/>
        <v>35354</v>
      </c>
      <c r="P14" s="21">
        <f t="shared" si="7"/>
        <v>-5709</v>
      </c>
      <c r="Q14" s="58">
        <f t="shared" si="8"/>
        <v>-0.13903027055987141</v>
      </c>
    </row>
    <row r="15" spans="1:17" ht="11.25" customHeight="1" x14ac:dyDescent="0.2">
      <c r="A15" s="20" t="s">
        <v>10</v>
      </c>
      <c r="B15" s="92">
        <v>17507</v>
      </c>
      <c r="C15" s="42">
        <v>18955</v>
      </c>
      <c r="D15" s="21">
        <f t="shared" si="0"/>
        <v>1448</v>
      </c>
      <c r="E15" s="60">
        <f t="shared" si="1"/>
        <v>8.2709773233563724E-2</v>
      </c>
      <c r="F15" s="92">
        <v>18127</v>
      </c>
      <c r="G15" s="42">
        <v>19711</v>
      </c>
      <c r="H15" s="21">
        <f t="shared" si="2"/>
        <v>1584</v>
      </c>
      <c r="I15" s="60">
        <f t="shared" si="3"/>
        <v>8.7383461135322998E-2</v>
      </c>
      <c r="J15" s="92">
        <v>2683</v>
      </c>
      <c r="K15" s="42">
        <v>2352</v>
      </c>
      <c r="L15" s="21">
        <f t="shared" si="4"/>
        <v>-331</v>
      </c>
      <c r="M15" s="58">
        <f t="shared" si="5"/>
        <v>-0.1233693626537458</v>
      </c>
      <c r="N15" s="33">
        <f t="shared" si="9"/>
        <v>38317</v>
      </c>
      <c r="O15" s="30">
        <f t="shared" si="6"/>
        <v>41018</v>
      </c>
      <c r="P15" s="21">
        <f t="shared" si="7"/>
        <v>2701</v>
      </c>
      <c r="Q15" s="58">
        <f t="shared" si="8"/>
        <v>7.049090482031474E-2</v>
      </c>
    </row>
    <row r="16" spans="1:17" ht="11.25" customHeight="1" x14ac:dyDescent="0.2">
      <c r="A16" s="87" t="s">
        <v>11</v>
      </c>
      <c r="B16" s="93">
        <v>19803</v>
      </c>
      <c r="C16" s="43">
        <v>18223</v>
      </c>
      <c r="D16" s="22">
        <f t="shared" si="0"/>
        <v>-1580</v>
      </c>
      <c r="E16" s="61">
        <f t="shared" si="1"/>
        <v>-7.9785891026612127E-2</v>
      </c>
      <c r="F16" s="93">
        <v>19377</v>
      </c>
      <c r="G16" s="43">
        <v>18635</v>
      </c>
      <c r="H16" s="22">
        <f t="shared" si="2"/>
        <v>-742</v>
      </c>
      <c r="I16" s="61">
        <f t="shared" si="3"/>
        <v>-3.8292821386179489E-2</v>
      </c>
      <c r="J16" s="93">
        <v>2912</v>
      </c>
      <c r="K16" s="43">
        <v>2207</v>
      </c>
      <c r="L16" s="22">
        <f t="shared" si="4"/>
        <v>-705</v>
      </c>
      <c r="M16" s="59">
        <f t="shared" si="5"/>
        <v>-0.24210164835164835</v>
      </c>
      <c r="N16" s="35">
        <f t="shared" si="9"/>
        <v>42092</v>
      </c>
      <c r="O16" s="31">
        <f t="shared" si="6"/>
        <v>39065</v>
      </c>
      <c r="P16" s="22">
        <f t="shared" si="7"/>
        <v>-3027</v>
      </c>
      <c r="Q16" s="59">
        <f t="shared" si="8"/>
        <v>-7.1913902879407007E-2</v>
      </c>
    </row>
    <row r="17" spans="1:21" ht="11.25" customHeight="1" x14ac:dyDescent="0.2">
      <c r="A17" s="20" t="s">
        <v>12</v>
      </c>
      <c r="B17" s="92">
        <v>17373</v>
      </c>
      <c r="C17" s="42">
        <v>17477</v>
      </c>
      <c r="D17" s="21">
        <f t="shared" si="0"/>
        <v>104</v>
      </c>
      <c r="E17" s="60">
        <f t="shared" si="1"/>
        <v>5.9863005813618831E-3</v>
      </c>
      <c r="F17" s="92">
        <v>17655</v>
      </c>
      <c r="G17" s="42">
        <v>18201</v>
      </c>
      <c r="H17" s="21">
        <f t="shared" si="2"/>
        <v>546</v>
      </c>
      <c r="I17" s="60">
        <f t="shared" si="3"/>
        <v>3.0926083262531861E-2</v>
      </c>
      <c r="J17" s="92">
        <v>3020</v>
      </c>
      <c r="K17" s="42">
        <v>2549</v>
      </c>
      <c r="L17" s="21">
        <f t="shared" si="4"/>
        <v>-471</v>
      </c>
      <c r="M17" s="58">
        <f t="shared" si="5"/>
        <v>-0.15596026490066225</v>
      </c>
      <c r="N17" s="33">
        <f t="shared" si="9"/>
        <v>38048</v>
      </c>
      <c r="O17" s="30">
        <f t="shared" si="6"/>
        <v>38227</v>
      </c>
      <c r="P17" s="21">
        <f t="shared" si="7"/>
        <v>179</v>
      </c>
      <c r="Q17" s="58">
        <f t="shared" si="8"/>
        <v>4.7045836837678722E-3</v>
      </c>
    </row>
    <row r="18" spans="1:21" ht="11.25" customHeight="1" x14ac:dyDescent="0.2">
      <c r="A18" s="20" t="s">
        <v>13</v>
      </c>
      <c r="B18" s="92">
        <v>18311</v>
      </c>
      <c r="C18" s="42">
        <v>18666</v>
      </c>
      <c r="D18" s="21">
        <f t="shared" si="0"/>
        <v>355</v>
      </c>
      <c r="E18" s="60">
        <f t="shared" si="1"/>
        <v>1.9387253563431815E-2</v>
      </c>
      <c r="F18" s="92">
        <v>15740</v>
      </c>
      <c r="G18" s="42">
        <v>17083</v>
      </c>
      <c r="H18" s="21">
        <f t="shared" si="2"/>
        <v>1343</v>
      </c>
      <c r="I18" s="60">
        <f t="shared" si="3"/>
        <v>8.5324015247776372E-2</v>
      </c>
      <c r="J18" s="92">
        <v>3027</v>
      </c>
      <c r="K18" s="42">
        <v>2372</v>
      </c>
      <c r="L18" s="21">
        <f t="shared" si="4"/>
        <v>-655</v>
      </c>
      <c r="M18" s="58">
        <f t="shared" si="5"/>
        <v>-0.21638586058804096</v>
      </c>
      <c r="N18" s="33">
        <f t="shared" si="9"/>
        <v>37078</v>
      </c>
      <c r="O18" s="30">
        <f t="shared" si="6"/>
        <v>38121</v>
      </c>
      <c r="P18" s="21">
        <f t="shared" si="7"/>
        <v>1043</v>
      </c>
      <c r="Q18" s="58">
        <f t="shared" si="8"/>
        <v>2.8129888343492098E-2</v>
      </c>
    </row>
    <row r="19" spans="1:21" ht="11.25" customHeight="1" x14ac:dyDescent="0.2">
      <c r="A19" s="87" t="s">
        <v>14</v>
      </c>
      <c r="B19" s="93">
        <v>19146</v>
      </c>
      <c r="C19" s="43">
        <v>18347</v>
      </c>
      <c r="D19" s="22">
        <f t="shared" si="0"/>
        <v>-799</v>
      </c>
      <c r="E19" s="61">
        <f t="shared" si="1"/>
        <v>-4.1731954455238696E-2</v>
      </c>
      <c r="F19" s="93">
        <v>19225</v>
      </c>
      <c r="G19" s="43">
        <v>20729</v>
      </c>
      <c r="H19" s="22">
        <f t="shared" si="2"/>
        <v>1504</v>
      </c>
      <c r="I19" s="61">
        <f t="shared" si="3"/>
        <v>7.8231469440832244E-2</v>
      </c>
      <c r="J19" s="93">
        <v>2884</v>
      </c>
      <c r="K19" s="43">
        <v>1982</v>
      </c>
      <c r="L19" s="22">
        <f t="shared" si="4"/>
        <v>-902</v>
      </c>
      <c r="M19" s="59">
        <f t="shared" si="5"/>
        <v>-0.31276005547850211</v>
      </c>
      <c r="N19" s="35">
        <f t="shared" si="9"/>
        <v>41255</v>
      </c>
      <c r="O19" s="31">
        <f t="shared" si="6"/>
        <v>41058</v>
      </c>
      <c r="P19" s="22">
        <f t="shared" si="7"/>
        <v>-197</v>
      </c>
      <c r="Q19" s="59">
        <f t="shared" si="8"/>
        <v>-4.7751787662101567E-3</v>
      </c>
    </row>
    <row r="20" spans="1:21" ht="11.25" customHeight="1" x14ac:dyDescent="0.2">
      <c r="A20" s="20" t="s">
        <v>15</v>
      </c>
      <c r="B20" s="92">
        <v>17971</v>
      </c>
      <c r="C20" s="42"/>
      <c r="D20" s="21" t="str">
        <f t="shared" si="0"/>
        <v/>
      </c>
      <c r="E20" s="60" t="str">
        <f t="shared" si="1"/>
        <v/>
      </c>
      <c r="F20" s="92">
        <v>18242</v>
      </c>
      <c r="G20" s="42"/>
      <c r="H20" s="21" t="str">
        <f t="shared" si="2"/>
        <v/>
      </c>
      <c r="I20" s="60" t="str">
        <f t="shared" si="3"/>
        <v/>
      </c>
      <c r="J20" s="92">
        <v>2563</v>
      </c>
      <c r="K20" s="42"/>
      <c r="L20" s="21" t="str">
        <f t="shared" si="4"/>
        <v/>
      </c>
      <c r="M20" s="58" t="str">
        <f t="shared" si="5"/>
        <v/>
      </c>
      <c r="N20" s="33">
        <f t="shared" si="9"/>
        <v>38776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92">
        <v>18582</v>
      </c>
      <c r="C21" s="42"/>
      <c r="D21" s="21" t="str">
        <f t="shared" si="0"/>
        <v/>
      </c>
      <c r="E21" s="60" t="str">
        <f t="shared" si="1"/>
        <v/>
      </c>
      <c r="F21" s="92">
        <v>19052</v>
      </c>
      <c r="G21" s="42"/>
      <c r="H21" s="21" t="str">
        <f t="shared" si="2"/>
        <v/>
      </c>
      <c r="I21" s="60" t="str">
        <f t="shared" si="3"/>
        <v/>
      </c>
      <c r="J21" s="92">
        <v>2622</v>
      </c>
      <c r="K21" s="42"/>
      <c r="L21" s="21" t="str">
        <f t="shared" si="4"/>
        <v/>
      </c>
      <c r="M21" s="58" t="str">
        <f t="shared" si="5"/>
        <v/>
      </c>
      <c r="N21" s="33">
        <f t="shared" si="9"/>
        <v>40256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94">
        <v>14744</v>
      </c>
      <c r="C22" s="44"/>
      <c r="D22" s="21" t="str">
        <f t="shared" si="0"/>
        <v/>
      </c>
      <c r="E22" s="88" t="str">
        <f t="shared" si="1"/>
        <v/>
      </c>
      <c r="F22" s="94">
        <v>16101</v>
      </c>
      <c r="G22" s="44"/>
      <c r="H22" s="21" t="str">
        <f t="shared" si="2"/>
        <v/>
      </c>
      <c r="I22" s="88" t="str">
        <f t="shared" si="3"/>
        <v/>
      </c>
      <c r="J22" s="94">
        <v>2672</v>
      </c>
      <c r="K22" s="44"/>
      <c r="L22" s="21" t="str">
        <f t="shared" si="4"/>
        <v/>
      </c>
      <c r="M22" s="52" t="str">
        <f t="shared" si="5"/>
        <v/>
      </c>
      <c r="N22" s="34">
        <f t="shared" si="9"/>
        <v>33517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 x14ac:dyDescent="0.25">
      <c r="A23" s="39" t="s">
        <v>3</v>
      </c>
      <c r="B23" s="36">
        <f>IF(C24&lt;7,B24,B25)</f>
        <v>161975</v>
      </c>
      <c r="C23" s="37">
        <f>IF(C11="","",SUM(C11:C22))</f>
        <v>159566</v>
      </c>
      <c r="D23" s="38">
        <f>IF(D11="","",SUM(D11:D22))</f>
        <v>-2409</v>
      </c>
      <c r="E23" s="53">
        <f t="shared" si="1"/>
        <v>-1.4872665534804754E-2</v>
      </c>
      <c r="F23" s="36">
        <f>IF(G24&lt;7,F24,F25)</f>
        <v>165257</v>
      </c>
      <c r="G23" s="37">
        <f>IF(G11="","",SUM(G11:G22))</f>
        <v>169014</v>
      </c>
      <c r="H23" s="38">
        <f>IF(H11="","",SUM(H11:H22))</f>
        <v>3757</v>
      </c>
      <c r="I23" s="53">
        <f t="shared" si="3"/>
        <v>2.2734286596029215E-2</v>
      </c>
      <c r="J23" s="36">
        <f>IF(K24&lt;7,J24,J25)</f>
        <v>26798</v>
      </c>
      <c r="K23" s="37">
        <f>IF(K11="","",SUM(K11:K22))</f>
        <v>21595</v>
      </c>
      <c r="L23" s="38">
        <f>IF(L11="","",SUM(L11:L22))</f>
        <v>-5203</v>
      </c>
      <c r="M23" s="53">
        <f t="shared" si="5"/>
        <v>-0.19415628031942683</v>
      </c>
      <c r="N23" s="36">
        <f>IF(O24&lt;7,N24,N25)</f>
        <v>354030</v>
      </c>
      <c r="O23" s="37">
        <f>IF(O11="","",SUM(O11:O22))</f>
        <v>350175</v>
      </c>
      <c r="P23" s="38">
        <f>IF(P11="","",SUM(P11:P22))</f>
        <v>-3855</v>
      </c>
      <c r="Q23" s="53">
        <f t="shared" si="8"/>
        <v>-1.0888907719684773E-2</v>
      </c>
    </row>
    <row r="24" spans="1:21" ht="11.25" customHeight="1" x14ac:dyDescent="0.2">
      <c r="A24" s="102" t="s">
        <v>28</v>
      </c>
      <c r="B24" s="103" t="str">
        <f>IF(C24=1,B11,IF(C24=2,SUM(B11:B12),IF(C24=3,SUM(B11:B13),IF(C24=4,SUM(B11:B14),IF(C24=5,SUM(B11:B15),IF(C24=6,SUM(B11:B16),""))))))</f>
        <v/>
      </c>
      <c r="C24" s="103">
        <f>COUNTIF(C11:C22,"&gt;0")</f>
        <v>9</v>
      </c>
      <c r="D24" s="103"/>
      <c r="E24" s="104"/>
      <c r="F24" s="103" t="str">
        <f>IF(G24=1,F11,IF(G24=2,SUM(F11:F12),IF(G24=3,SUM(F11:F13),IF(G24=4,SUM(F11:F14),IF(G24=5,SUM(F11:F15),IF(G24=6,SUM(F11:F16),""))))))</f>
        <v/>
      </c>
      <c r="G24" s="103">
        <f>COUNTIF(G11:G22,"&gt;0")</f>
        <v>9</v>
      </c>
      <c r="H24" s="103"/>
      <c r="I24" s="104"/>
      <c r="J24" s="103" t="str">
        <f>IF(K24=1,J11,IF(K24=2,SUM(J11:J12),IF(K24=3,SUM(J11:J13),IF(K24=4,SUM(J11:J14),IF(K24=5,SUM(J11:J15),IF(K24=6,SUM(J11:J16),""))))))</f>
        <v/>
      </c>
      <c r="K24" s="103">
        <f>COUNTIF(K11:K22,"&gt;0")</f>
        <v>9</v>
      </c>
      <c r="L24" s="103"/>
      <c r="M24" s="104"/>
      <c r="N24" s="103" t="str">
        <f>IF(O24=1,N11,IF(O24=2,SUM(N11:N12),IF(O24=3,SUM(N11:N13),IF(O24=4,SUM(N11:N14),IF(O24=5,SUM(N11:N15),IF(O24=6,SUM(N11:N16),""))))))</f>
        <v/>
      </c>
      <c r="O24" s="103">
        <f>COUNTIF(O11:O22,"&gt;0")</f>
        <v>9</v>
      </c>
      <c r="P24" s="106"/>
      <c r="Q24" s="107"/>
      <c r="R24" s="105"/>
      <c r="S24" s="105"/>
    </row>
    <row r="25" spans="1:21" ht="11.25" customHeight="1" x14ac:dyDescent="0.2">
      <c r="B25" s="76">
        <f>IF(C24=7,SUM(B11:B17),IF(C24=8,SUM(B11:B18),IF(C24=9,SUM(B11:B19),IF(C24=10,SUM(B11:B20),IF(C24=11,SUM(B11:B21),SUM(B11:B22))))))</f>
        <v>161975</v>
      </c>
      <c r="F25" s="76">
        <f>IF(G24=7,SUM(F11:F17),IF(G24=8,SUM(F11:F18),IF(G24=9,SUM(F11:F19),IF(G24=10,SUM(F11:F20),IF(G24=11,SUM(F11:F21),SUM(F11:F22))))))</f>
        <v>165257</v>
      </c>
      <c r="J25" s="76">
        <f>IF(K24=7,SUM(J11:J17),IF(K24=8,SUM(J11:J18),IF(K24=9,SUM(J11:J19),IF(K24=10,SUM(J11:J20),IF(K24=11,SUM(J11:J21),SUM(J11:J22))))))</f>
        <v>26798</v>
      </c>
      <c r="N25" s="76">
        <f>IF(O24=7,SUM(N11:N17),IF(O24=8,SUM(N11:N18),IF(O24=9,SUM(N11:N19),IF(O24=10,SUM(N11:N20),IF(O24=11,SUM(N11:N21),SUM(N11:N22))))))</f>
        <v>354030</v>
      </c>
    </row>
    <row r="26" spans="1:21" ht="11.25" customHeight="1" x14ac:dyDescent="0.2">
      <c r="A26" s="7"/>
      <c r="B26" s="117" t="s">
        <v>22</v>
      </c>
      <c r="C26" s="118"/>
      <c r="D26" s="118"/>
      <c r="E26" s="118"/>
      <c r="F26" s="9"/>
    </row>
    <row r="27" spans="1:21" ht="11.25" customHeight="1" thickBot="1" x14ac:dyDescent="0.25">
      <c r="B27" s="119"/>
      <c r="C27" s="119"/>
      <c r="D27" s="119"/>
      <c r="E27" s="119"/>
    </row>
    <row r="28" spans="1:21" ht="11.25" customHeight="1" thickBot="1" x14ac:dyDescent="0.25">
      <c r="A28" s="25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</row>
    <row r="30" spans="1:21" ht="11.25" customHeight="1" thickBot="1" x14ac:dyDescent="0.25">
      <c r="A30" s="74" t="s">
        <v>24</v>
      </c>
      <c r="B30" s="11">
        <f>T43</f>
        <v>189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1" t="s">
        <v>23</v>
      </c>
      <c r="S30" s="142"/>
    </row>
    <row r="31" spans="1:21" ht="11.25" customHeight="1" x14ac:dyDescent="0.2">
      <c r="A31" s="20" t="s">
        <v>6</v>
      </c>
      <c r="B31" s="65">
        <f>IF(C11="","",B11/$R31)</f>
        <v>709.14285714285711</v>
      </c>
      <c r="C31" s="68">
        <f>IF(C11="","",C11/$S31)</f>
        <v>699.86363636363637</v>
      </c>
      <c r="D31" s="64">
        <f>IF(C31="","",C31-B31)</f>
        <v>-9.2792207792207364</v>
      </c>
      <c r="E31" s="60">
        <f>IF(C31="","",(C31-B31)/ABS(B31))</f>
        <v>-1.3085121969086453E-2</v>
      </c>
      <c r="F31" s="65">
        <f>IF(G11="","",F11/$R31)</f>
        <v>803.61904761904759</v>
      </c>
      <c r="G31" s="68">
        <f>IF(G11="","",G11/$S31)</f>
        <v>804.0454545454545</v>
      </c>
      <c r="H31" s="80">
        <f>IF(G31="","",G31-F31)</f>
        <v>0.42640692640691213</v>
      </c>
      <c r="I31" s="60">
        <f>IF(G31="","",(G31-F31)/ABS(F31))</f>
        <v>5.3060828718565743E-4</v>
      </c>
      <c r="J31" s="65">
        <f>IF(K11="","",J11/$R31)</f>
        <v>141.9047619047619</v>
      </c>
      <c r="K31" s="68">
        <f>IF(K11="","",K11/$S31)</f>
        <v>123.54545454545455</v>
      </c>
      <c r="L31" s="80">
        <f>IF(K31="","",K31-J31)</f>
        <v>-18.359307359307351</v>
      </c>
      <c r="M31" s="60">
        <f>IF(K31="","",(K31-J31)/ABS(J31))</f>
        <v>-0.12937766931055517</v>
      </c>
      <c r="N31" s="65">
        <f>IF(O11="","",N11/$R31)</f>
        <v>1654.6666666666667</v>
      </c>
      <c r="O31" s="68">
        <f>IF(O11="","",O11/$S31)</f>
        <v>1627.4545454545455</v>
      </c>
      <c r="P31" s="80">
        <f>IF(O31="","",O31-N31)</f>
        <v>-27.212121212121247</v>
      </c>
      <c r="Q31" s="58">
        <f>IF(O31="","",(O31-N31)/ABS(N31))</f>
        <v>-1.6445681635045072E-2</v>
      </c>
      <c r="R31" s="56">
        <v>21</v>
      </c>
      <c r="S31" s="56">
        <v>22</v>
      </c>
      <c r="T31" s="77">
        <f>IF(OR(N31="",N31=0),"",R31)</f>
        <v>21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ref="B32:B42" si="10">IF(C12="","",B12/$R32)</f>
        <v>873</v>
      </c>
      <c r="C32" s="68">
        <f t="shared" ref="C32:C42" si="11">IF(C12="","",C12/$S32)</f>
        <v>825.3</v>
      </c>
      <c r="D32" s="64">
        <f t="shared" ref="D32:D42" si="12">IF(C32="","",C32-B32)</f>
        <v>-47.700000000000045</v>
      </c>
      <c r="E32" s="60">
        <f t="shared" ref="E32:E43" si="13">IF(C32="","",(C32-B32)/ABS(B32))</f>
        <v>-5.4639175257732008E-2</v>
      </c>
      <c r="F32" s="65">
        <f t="shared" ref="F32:F42" si="14">IF(G12="","",F12/$R32)</f>
        <v>968.75</v>
      </c>
      <c r="G32" s="68">
        <f t="shared" ref="G32:G42" si="15">IF(G12="","",G12/$S32)</f>
        <v>930.9</v>
      </c>
      <c r="H32" s="80">
        <f t="shared" ref="H32:H42" si="16">IF(G32="","",G32-F32)</f>
        <v>-37.850000000000023</v>
      </c>
      <c r="I32" s="60">
        <f t="shared" ref="I32:I43" si="17">IF(G32="","",(G32-F32)/ABS(F32))</f>
        <v>-3.9070967741935504E-2</v>
      </c>
      <c r="J32" s="65">
        <f t="shared" ref="J32:J42" si="18">IF(K12="","",J12/$R32)</f>
        <v>151.94999999999999</v>
      </c>
      <c r="K32" s="68">
        <f t="shared" ref="K32:K42" si="19">IF(K12="","",K12/$S32)</f>
        <v>135.65</v>
      </c>
      <c r="L32" s="80">
        <f t="shared" ref="L32:L42" si="20">IF(K32="","",K32-J32)</f>
        <v>-16.299999999999983</v>
      </c>
      <c r="M32" s="60">
        <f t="shared" ref="M32:M43" si="21">IF(K32="","",(K32-J32)/ABS(J32))</f>
        <v>-0.10727212898979917</v>
      </c>
      <c r="N32" s="65">
        <f t="shared" ref="N32:N42" si="22">IF(O12="","",N12/$R32)</f>
        <v>1993.7</v>
      </c>
      <c r="O32" s="68">
        <f t="shared" ref="O32:O42" si="23">IF(O12="","",O12/$S32)</f>
        <v>1891.85</v>
      </c>
      <c r="P32" s="80">
        <f t="shared" ref="P32:P42" si="24">IF(O32="","",O32-N32)</f>
        <v>-101.85000000000014</v>
      </c>
      <c r="Q32" s="58">
        <f t="shared" ref="Q32:Q43" si="25">IF(O32="","",(O32-N32)/ABS(N32))</f>
        <v>-5.1085920650047717E-2</v>
      </c>
      <c r="R32" s="56">
        <v>20</v>
      </c>
      <c r="S32" s="56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41" t="s">
        <v>8</v>
      </c>
      <c r="B33" s="66">
        <f t="shared" si="10"/>
        <v>844.13636363636363</v>
      </c>
      <c r="C33" s="69">
        <f t="shared" si="11"/>
        <v>851.04347826086962</v>
      </c>
      <c r="D33" s="71">
        <f t="shared" si="12"/>
        <v>6.9071146245059936</v>
      </c>
      <c r="E33" s="61">
        <f t="shared" si="13"/>
        <v>8.1824630735626448E-3</v>
      </c>
      <c r="F33" s="66">
        <f t="shared" si="14"/>
        <v>907.40909090909088</v>
      </c>
      <c r="G33" s="69">
        <f t="shared" si="15"/>
        <v>935.695652173913</v>
      </c>
      <c r="H33" s="81">
        <f t="shared" si="16"/>
        <v>28.286561264822126</v>
      </c>
      <c r="I33" s="61">
        <f t="shared" si="17"/>
        <v>3.1172887232684805E-2</v>
      </c>
      <c r="J33" s="66">
        <f t="shared" si="18"/>
        <v>137.31818181818181</v>
      </c>
      <c r="K33" s="69">
        <f t="shared" si="19"/>
        <v>112.8695652173913</v>
      </c>
      <c r="L33" s="81">
        <f t="shared" si="20"/>
        <v>-24.448616600790515</v>
      </c>
      <c r="M33" s="61">
        <f t="shared" si="21"/>
        <v>-0.17804355022091736</v>
      </c>
      <c r="N33" s="66">
        <f t="shared" si="22"/>
        <v>1888.8636363636363</v>
      </c>
      <c r="O33" s="69">
        <f t="shared" si="23"/>
        <v>1899.608695652174</v>
      </c>
      <c r="P33" s="81">
        <f t="shared" si="24"/>
        <v>10.745059288537732</v>
      </c>
      <c r="Q33" s="59">
        <f t="shared" si="25"/>
        <v>5.6886368511088947E-3</v>
      </c>
      <c r="R33" s="85">
        <v>22</v>
      </c>
      <c r="S33" s="85">
        <v>23</v>
      </c>
      <c r="T33" s="77">
        <f t="shared" si="26"/>
        <v>22</v>
      </c>
      <c r="U33" s="77">
        <f t="shared" si="26"/>
        <v>23</v>
      </c>
    </row>
    <row r="34" spans="1:21" ht="11.25" customHeight="1" x14ac:dyDescent="0.2">
      <c r="A34" s="20" t="s">
        <v>9</v>
      </c>
      <c r="B34" s="65">
        <f t="shared" si="10"/>
        <v>945.6</v>
      </c>
      <c r="C34" s="68">
        <f t="shared" si="11"/>
        <v>912.27777777777783</v>
      </c>
      <c r="D34" s="64">
        <f t="shared" si="12"/>
        <v>-33.322222222222194</v>
      </c>
      <c r="E34" s="60">
        <f t="shared" si="13"/>
        <v>-3.5239236698627531E-2</v>
      </c>
      <c r="F34" s="65">
        <f t="shared" si="14"/>
        <v>945.95</v>
      </c>
      <c r="G34" s="68">
        <f t="shared" si="15"/>
        <v>934.83333333333337</v>
      </c>
      <c r="H34" s="80">
        <f t="shared" si="16"/>
        <v>-11.116666666666674</v>
      </c>
      <c r="I34" s="60">
        <f t="shared" si="17"/>
        <v>-1.1751854396814497E-2</v>
      </c>
      <c r="J34" s="65">
        <f t="shared" si="18"/>
        <v>161.6</v>
      </c>
      <c r="K34" s="68">
        <f t="shared" si="19"/>
        <v>117</v>
      </c>
      <c r="L34" s="80">
        <f t="shared" si="20"/>
        <v>-44.599999999999994</v>
      </c>
      <c r="M34" s="60">
        <f t="shared" si="21"/>
        <v>-0.27599009900990096</v>
      </c>
      <c r="N34" s="65">
        <f t="shared" si="22"/>
        <v>2053.15</v>
      </c>
      <c r="O34" s="68">
        <f t="shared" si="23"/>
        <v>1964.1111111111111</v>
      </c>
      <c r="P34" s="80">
        <f t="shared" si="24"/>
        <v>-89.038888888889005</v>
      </c>
      <c r="Q34" s="58">
        <f t="shared" si="25"/>
        <v>-4.3366967288746075E-2</v>
      </c>
      <c r="R34" s="56">
        <v>20</v>
      </c>
      <c r="S34" s="56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10</v>
      </c>
      <c r="B35" s="65">
        <f t="shared" si="10"/>
        <v>972.61111111111109</v>
      </c>
      <c r="C35" s="68">
        <f t="shared" si="11"/>
        <v>902.61904761904759</v>
      </c>
      <c r="D35" s="64">
        <f t="shared" si="12"/>
        <v>-69.992063492063494</v>
      </c>
      <c r="E35" s="60">
        <f t="shared" si="13"/>
        <v>-7.1963051514088244E-2</v>
      </c>
      <c r="F35" s="65">
        <f t="shared" si="14"/>
        <v>1007.0555555555555</v>
      </c>
      <c r="G35" s="68">
        <f t="shared" si="15"/>
        <v>938.61904761904759</v>
      </c>
      <c r="H35" s="80">
        <f t="shared" si="16"/>
        <v>-68.436507936507951</v>
      </c>
      <c r="I35" s="60">
        <f t="shared" si="17"/>
        <v>-6.7957033312580295E-2</v>
      </c>
      <c r="J35" s="65">
        <f t="shared" si="18"/>
        <v>149.05555555555554</v>
      </c>
      <c r="K35" s="68">
        <f t="shared" si="19"/>
        <v>112</v>
      </c>
      <c r="L35" s="80">
        <f t="shared" si="20"/>
        <v>-37.055555555555543</v>
      </c>
      <c r="M35" s="60">
        <f t="shared" si="21"/>
        <v>-0.24860231084606776</v>
      </c>
      <c r="N35" s="65">
        <f t="shared" si="22"/>
        <v>2128.7222222222222</v>
      </c>
      <c r="O35" s="68">
        <f t="shared" si="23"/>
        <v>1953.2380952380952</v>
      </c>
      <c r="P35" s="80">
        <f t="shared" si="24"/>
        <v>-175.48412698412699</v>
      </c>
      <c r="Q35" s="58">
        <f t="shared" si="25"/>
        <v>-8.2436367296873078E-2</v>
      </c>
      <c r="R35" s="56">
        <v>18</v>
      </c>
      <c r="S35" s="56">
        <v>21</v>
      </c>
      <c r="T35" s="77">
        <f t="shared" si="26"/>
        <v>18</v>
      </c>
      <c r="U35" s="77">
        <f t="shared" si="26"/>
        <v>21</v>
      </c>
    </row>
    <row r="36" spans="1:21" ht="11.25" customHeight="1" x14ac:dyDescent="0.2">
      <c r="A36" s="41" t="s">
        <v>11</v>
      </c>
      <c r="B36" s="66">
        <f t="shared" si="10"/>
        <v>900.13636363636363</v>
      </c>
      <c r="C36" s="69">
        <f t="shared" si="11"/>
        <v>828.31818181818187</v>
      </c>
      <c r="D36" s="71">
        <f t="shared" si="12"/>
        <v>-71.818181818181756</v>
      </c>
      <c r="E36" s="61">
        <f t="shared" si="13"/>
        <v>-7.9785891026612057E-2</v>
      </c>
      <c r="F36" s="66">
        <f t="shared" si="14"/>
        <v>880.77272727272725</v>
      </c>
      <c r="G36" s="69">
        <f t="shared" si="15"/>
        <v>847.0454545454545</v>
      </c>
      <c r="H36" s="81">
        <f t="shared" si="16"/>
        <v>-33.727272727272748</v>
      </c>
      <c r="I36" s="61">
        <f t="shared" si="17"/>
        <v>-3.8292821386179517E-2</v>
      </c>
      <c r="J36" s="66">
        <f t="shared" si="18"/>
        <v>132.36363636363637</v>
      </c>
      <c r="K36" s="69">
        <f t="shared" si="19"/>
        <v>100.31818181818181</v>
      </c>
      <c r="L36" s="81">
        <f t="shared" si="20"/>
        <v>-32.045454545454561</v>
      </c>
      <c r="M36" s="61">
        <f t="shared" si="21"/>
        <v>-0.24210164835164846</v>
      </c>
      <c r="N36" s="66">
        <f t="shared" si="22"/>
        <v>1913.2727272727273</v>
      </c>
      <c r="O36" s="69">
        <f t="shared" si="23"/>
        <v>1775.6818181818182</v>
      </c>
      <c r="P36" s="81">
        <f t="shared" si="24"/>
        <v>-137.59090909090901</v>
      </c>
      <c r="Q36" s="59">
        <f t="shared" si="25"/>
        <v>-7.1913902879406966E-2</v>
      </c>
      <c r="R36" s="85">
        <v>22</v>
      </c>
      <c r="S36" s="85">
        <v>22</v>
      </c>
      <c r="T36" s="77">
        <f t="shared" si="26"/>
        <v>22</v>
      </c>
      <c r="U36" s="77">
        <f t="shared" si="26"/>
        <v>22</v>
      </c>
    </row>
    <row r="37" spans="1:21" ht="11.25" customHeight="1" x14ac:dyDescent="0.2">
      <c r="A37" s="20" t="s">
        <v>12</v>
      </c>
      <c r="B37" s="65">
        <f t="shared" si="10"/>
        <v>755.3478260869565</v>
      </c>
      <c r="C37" s="68">
        <f t="shared" si="11"/>
        <v>832.23809523809518</v>
      </c>
      <c r="D37" s="64">
        <f t="shared" si="12"/>
        <v>76.890269151138682</v>
      </c>
      <c r="E37" s="60">
        <f t="shared" si="13"/>
        <v>0.10179451968434869</v>
      </c>
      <c r="F37" s="65">
        <f t="shared" si="14"/>
        <v>767.60869565217388</v>
      </c>
      <c r="G37" s="68">
        <f t="shared" si="15"/>
        <v>866.71428571428567</v>
      </c>
      <c r="H37" s="80">
        <f t="shared" si="16"/>
        <v>99.105590062111787</v>
      </c>
      <c r="I37" s="60">
        <f t="shared" si="17"/>
        <v>0.12910951976372537</v>
      </c>
      <c r="J37" s="65">
        <f t="shared" si="18"/>
        <v>131.30434782608697</v>
      </c>
      <c r="K37" s="68">
        <f t="shared" si="19"/>
        <v>121.38095238095238</v>
      </c>
      <c r="L37" s="80">
        <f t="shared" si="20"/>
        <v>-9.923395445134588</v>
      </c>
      <c r="M37" s="60">
        <f t="shared" si="21"/>
        <v>-7.5575528224534935E-2</v>
      </c>
      <c r="N37" s="65">
        <f t="shared" si="22"/>
        <v>1654.2608695652175</v>
      </c>
      <c r="O37" s="68">
        <f t="shared" si="23"/>
        <v>1820.3333333333333</v>
      </c>
      <c r="P37" s="80">
        <f t="shared" si="24"/>
        <v>166.07246376811577</v>
      </c>
      <c r="Q37" s="58">
        <f t="shared" si="25"/>
        <v>0.10039073451079328</v>
      </c>
      <c r="R37" s="56">
        <v>23</v>
      </c>
      <c r="S37" s="56">
        <v>21</v>
      </c>
      <c r="T37" s="77">
        <f t="shared" si="26"/>
        <v>23</v>
      </c>
      <c r="U37" s="77">
        <f t="shared" si="26"/>
        <v>21</v>
      </c>
    </row>
    <row r="38" spans="1:21" ht="11.25" customHeight="1" x14ac:dyDescent="0.2">
      <c r="A38" s="20" t="s">
        <v>13</v>
      </c>
      <c r="B38" s="65">
        <f t="shared" si="10"/>
        <v>871.95238095238096</v>
      </c>
      <c r="C38" s="68">
        <f t="shared" si="11"/>
        <v>848.4545454545455</v>
      </c>
      <c r="D38" s="64">
        <f t="shared" si="12"/>
        <v>-23.497835497835467</v>
      </c>
      <c r="E38" s="60">
        <f t="shared" si="13"/>
        <v>-2.6948530689451411E-2</v>
      </c>
      <c r="F38" s="65">
        <f t="shared" si="14"/>
        <v>749.52380952380952</v>
      </c>
      <c r="G38" s="68">
        <f t="shared" si="15"/>
        <v>776.5</v>
      </c>
      <c r="H38" s="80">
        <f t="shared" si="16"/>
        <v>26.976190476190482</v>
      </c>
      <c r="I38" s="60">
        <f t="shared" si="17"/>
        <v>3.5991105463786539E-2</v>
      </c>
      <c r="J38" s="65">
        <f t="shared" si="18"/>
        <v>144.14285714285714</v>
      </c>
      <c r="K38" s="68">
        <f t="shared" si="19"/>
        <v>107.81818181818181</v>
      </c>
      <c r="L38" s="80">
        <f t="shared" si="20"/>
        <v>-36.324675324675326</v>
      </c>
      <c r="M38" s="60">
        <f t="shared" si="21"/>
        <v>-0.25200468510676638</v>
      </c>
      <c r="N38" s="65">
        <f t="shared" si="22"/>
        <v>1765.6190476190477</v>
      </c>
      <c r="O38" s="68">
        <f t="shared" si="23"/>
        <v>1732.7727272727273</v>
      </c>
      <c r="P38" s="80">
        <f t="shared" si="24"/>
        <v>-32.846320346320454</v>
      </c>
      <c r="Q38" s="58">
        <f t="shared" si="25"/>
        <v>-1.8603288399393965E-2</v>
      </c>
      <c r="R38" s="56">
        <v>21</v>
      </c>
      <c r="S38" s="56">
        <v>22</v>
      </c>
      <c r="T38" s="77">
        <f t="shared" si="26"/>
        <v>21</v>
      </c>
      <c r="U38" s="77">
        <f t="shared" si="26"/>
        <v>22</v>
      </c>
    </row>
    <row r="39" spans="1:21" ht="11.25" customHeight="1" x14ac:dyDescent="0.2">
      <c r="A39" s="41" t="s">
        <v>14</v>
      </c>
      <c r="B39" s="66">
        <f t="shared" si="10"/>
        <v>870.27272727272725</v>
      </c>
      <c r="C39" s="69">
        <f t="shared" si="11"/>
        <v>873.66666666666663</v>
      </c>
      <c r="D39" s="71">
        <f t="shared" si="12"/>
        <v>3.3939393939393767</v>
      </c>
      <c r="E39" s="61">
        <f t="shared" si="13"/>
        <v>3.8998572373689696E-3</v>
      </c>
      <c r="F39" s="66">
        <f t="shared" si="14"/>
        <v>873.86363636363637</v>
      </c>
      <c r="G39" s="69">
        <f t="shared" si="15"/>
        <v>987.09523809523807</v>
      </c>
      <c r="H39" s="81">
        <f t="shared" si="16"/>
        <v>113.2316017316017</v>
      </c>
      <c r="I39" s="61">
        <f t="shared" si="17"/>
        <v>0.12957582512849089</v>
      </c>
      <c r="J39" s="66">
        <f t="shared" si="18"/>
        <v>131.09090909090909</v>
      </c>
      <c r="K39" s="69">
        <f t="shared" si="19"/>
        <v>94.38095238095238</v>
      </c>
      <c r="L39" s="81">
        <f t="shared" si="20"/>
        <v>-36.709956709956714</v>
      </c>
      <c r="M39" s="61">
        <f t="shared" si="21"/>
        <v>-0.28003434383462122</v>
      </c>
      <c r="N39" s="66">
        <f t="shared" si="22"/>
        <v>1875.2272727272727</v>
      </c>
      <c r="O39" s="69">
        <f t="shared" si="23"/>
        <v>1955.1428571428571</v>
      </c>
      <c r="P39" s="81">
        <f t="shared" si="24"/>
        <v>79.915584415584362</v>
      </c>
      <c r="Q39" s="59">
        <f t="shared" si="25"/>
        <v>4.2616479387779807E-2</v>
      </c>
      <c r="R39" s="85">
        <v>22</v>
      </c>
      <c r="S39" s="85">
        <v>21</v>
      </c>
      <c r="T39" s="77">
        <f t="shared" si="26"/>
        <v>22</v>
      </c>
      <c r="U39" s="77">
        <f t="shared" si="26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22</v>
      </c>
      <c r="S40" s="56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2"/>
        <v/>
      </c>
      <c r="E42" s="60" t="str">
        <f t="shared" si="13"/>
        <v/>
      </c>
      <c r="F42" s="65" t="str">
        <f t="shared" si="14"/>
        <v/>
      </c>
      <c r="G42" s="68" t="str">
        <f t="shared" si="15"/>
        <v/>
      </c>
      <c r="H42" s="80" t="str">
        <f t="shared" si="16"/>
        <v/>
      </c>
      <c r="I42" s="60" t="str">
        <f t="shared" si="17"/>
        <v/>
      </c>
      <c r="J42" s="65" t="str">
        <f t="shared" si="18"/>
        <v/>
      </c>
      <c r="K42" s="68" t="str">
        <f t="shared" si="19"/>
        <v/>
      </c>
      <c r="L42" s="80" t="str">
        <f t="shared" si="20"/>
        <v/>
      </c>
      <c r="M42" s="60" t="str">
        <f t="shared" si="21"/>
        <v/>
      </c>
      <c r="N42" s="65" t="str">
        <f t="shared" si="22"/>
        <v/>
      </c>
      <c r="O42" s="68" t="str">
        <f t="shared" si="23"/>
        <v/>
      </c>
      <c r="P42" s="80" t="str">
        <f t="shared" si="24"/>
        <v/>
      </c>
      <c r="Q42" s="58" t="str">
        <f t="shared" si="25"/>
        <v/>
      </c>
      <c r="R42" s="56">
        <v>22</v>
      </c>
      <c r="S42" s="56">
        <v>19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40" t="s">
        <v>29</v>
      </c>
      <c r="B43" s="67">
        <f>AVERAGE(B31:B42)</f>
        <v>860.2444033154178</v>
      </c>
      <c r="C43" s="70">
        <f>IF(C11="","",AVERAGE(C31:C42))</f>
        <v>841.53126991098009</v>
      </c>
      <c r="D43" s="62">
        <f>IF(D31="","",AVERAGE(D31:D42))</f>
        <v>-18.713133404437738</v>
      </c>
      <c r="E43" s="54">
        <f t="shared" si="13"/>
        <v>-2.1753275385828164E-2</v>
      </c>
      <c r="F43" s="67">
        <f>AVERAGE(F31:F42)</f>
        <v>878.28361809956004</v>
      </c>
      <c r="G43" s="70">
        <f>IF(G11="","",AVERAGE(G31:G42))</f>
        <v>891.27205178074735</v>
      </c>
      <c r="H43" s="82">
        <f>IF(H31="","",AVERAGE(H31:H42))</f>
        <v>12.98843368118729</v>
      </c>
      <c r="I43" s="54">
        <f t="shared" si="17"/>
        <v>1.4788427580252289E-2</v>
      </c>
      <c r="J43" s="67">
        <f>AVERAGE(J31:J42)</f>
        <v>142.30336107799874</v>
      </c>
      <c r="K43" s="70">
        <f>IF(K11="","",AVERAGE(K31:K42))</f>
        <v>113.88480979567936</v>
      </c>
      <c r="L43" s="82">
        <f>IF(L31="","",AVERAGE(L31:L42))</f>
        <v>-28.418551282319399</v>
      </c>
      <c r="M43" s="54">
        <f t="shared" si="21"/>
        <v>-0.19970400605466179</v>
      </c>
      <c r="N43" s="67">
        <f>AVERAGE(N31:N42)</f>
        <v>1880.8313824929767</v>
      </c>
      <c r="O43" s="70">
        <f>IF(O11="","",AVERAGE(O31:O42))</f>
        <v>1846.688131487407</v>
      </c>
      <c r="P43" s="82">
        <f>IF(P31="","",AVERAGE(P31:P42))</f>
        <v>-34.143251005569887</v>
      </c>
      <c r="Q43" s="55">
        <f t="shared" si="25"/>
        <v>-1.8153275898828324E-2</v>
      </c>
      <c r="R43" s="86">
        <f>SUM(R31:R42)</f>
        <v>254</v>
      </c>
      <c r="S43" s="86">
        <f>SUM(S31:S42)</f>
        <v>253</v>
      </c>
      <c r="T43" s="77">
        <f>SUM(T31:T42)</f>
        <v>189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09"/>
      <c r="C44" s="109">
        <f>COUNTIF(C31:C42,"&gt;0")</f>
        <v>9</v>
      </c>
      <c r="D44" s="110"/>
      <c r="E44" s="111"/>
      <c r="F44" s="109"/>
      <c r="G44" s="109">
        <f>COUNTIF(G31:G42,"&gt;0")</f>
        <v>9</v>
      </c>
      <c r="H44" s="110"/>
      <c r="I44" s="111"/>
      <c r="J44" s="109"/>
      <c r="K44" s="109">
        <f>COUNTIF(K31:K42,"&gt;0")</f>
        <v>9</v>
      </c>
      <c r="L44" s="110"/>
      <c r="M44" s="111"/>
      <c r="N44" s="109"/>
      <c r="O44" s="109">
        <f>COUNTIF(O31:O42,"&gt;0")</f>
        <v>9</v>
      </c>
      <c r="P44" s="114"/>
      <c r="Q44" s="116"/>
      <c r="R44" s="112"/>
      <c r="S44" s="112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6OCUdTPaO0GsYT6wFZq9Wa7mfA/oqhUcL+Yt/Vy0T5WTkw/VPqZXgarfCLLR2wJHvjUIgaLArUL8ByOTMUWrcA==" saltValue="ehi0eFPk2/RvK0i7MyyScQ==" spinCount="100000" sheet="1" objects="1" scenarios="1" selectLockedCells="1" selectUnlockedCells="1"/>
  <mergeCells count="22">
    <mergeCell ref="P9:Q9"/>
    <mergeCell ref="B2:E2"/>
    <mergeCell ref="D3:E3"/>
    <mergeCell ref="B6:E7"/>
    <mergeCell ref="B26:E27"/>
    <mergeCell ref="B3:C3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J28:M28"/>
    <mergeCell ref="J8:M8"/>
    <mergeCell ref="N8:Q8"/>
    <mergeCell ref="B28:E28"/>
    <mergeCell ref="F8:I8"/>
    <mergeCell ref="F28:I28"/>
    <mergeCell ref="N28:Q28"/>
  </mergeCells>
  <phoneticPr fontId="0" type="noConversion"/>
  <conditionalFormatting sqref="N13:N16 N18:N21">
    <cfRule type="expression" dxfId="55" priority="9" stopIfTrue="1">
      <formula>O13=""</formula>
    </cfRule>
  </conditionalFormatting>
  <conditionalFormatting sqref="N22 N17 N12">
    <cfRule type="expression" dxfId="54" priority="10" stopIfTrue="1">
      <formula>O12=""</formula>
    </cfRule>
  </conditionalFormatting>
  <conditionalFormatting sqref="R43:S43">
    <cfRule type="expression" dxfId="53" priority="11" stopIfTrue="1">
      <formula>R43&lt;$R43</formula>
    </cfRule>
    <cfRule type="expression" dxfId="52" priority="12" stopIfTrue="1">
      <formula>R43&gt;$R43</formula>
    </cfRule>
  </conditionalFormatting>
  <conditionalFormatting sqref="R31:R42">
    <cfRule type="expression" dxfId="51" priority="3" stopIfTrue="1">
      <formula>R31&lt;$R31</formula>
    </cfRule>
    <cfRule type="expression" dxfId="50" priority="4" stopIfTrue="1">
      <formula>R31&gt;$R31</formula>
    </cfRule>
  </conditionalFormatting>
  <conditionalFormatting sqref="S31:S42">
    <cfRule type="expression" dxfId="49" priority="1" stopIfTrue="1">
      <formula>S31&lt;$R31</formula>
    </cfRule>
    <cfRule type="expression" dxfId="48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0"/>
  <sheetViews>
    <sheetView showGridLines="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84" t="s">
        <v>18</v>
      </c>
      <c r="B2" s="145" t="s">
        <v>26</v>
      </c>
      <c r="C2" s="145"/>
      <c r="D2" s="145"/>
      <c r="E2" s="145"/>
      <c r="Q2" s="79"/>
    </row>
    <row r="3" spans="1:17" ht="13.5" customHeight="1" x14ac:dyDescent="0.2">
      <c r="A3" s="1"/>
      <c r="B3" s="126" t="s">
        <v>20</v>
      </c>
      <c r="C3" s="126"/>
      <c r="D3" s="146" t="s">
        <v>25</v>
      </c>
      <c r="E3" s="146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17" t="s">
        <v>30</v>
      </c>
      <c r="C6" s="118"/>
      <c r="D6" s="118"/>
      <c r="E6" s="118"/>
      <c r="F6" s="9"/>
    </row>
    <row r="7" spans="1:17" ht="11.25" customHeight="1" thickBot="1" x14ac:dyDescent="0.25">
      <c r="B7" s="119"/>
      <c r="C7" s="119"/>
      <c r="D7" s="119"/>
      <c r="E7" s="119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f>'BON-NS'!B9</f>
        <v>2016</v>
      </c>
      <c r="C9" s="46">
        <f>'BON-NS'!C9</f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92">
        <v>13853</v>
      </c>
      <c r="C11" s="42">
        <v>14129</v>
      </c>
      <c r="D11" s="21">
        <f t="shared" ref="D11:D22" si="0">IF(C11="","",C11-B11)</f>
        <v>276</v>
      </c>
      <c r="E11" s="60">
        <f t="shared" ref="E11:E23" si="1">IF(D11="","",D11/B11)</f>
        <v>1.9923482278206887E-2</v>
      </c>
      <c r="F11" s="92">
        <v>11495</v>
      </c>
      <c r="G11" s="42">
        <v>12081</v>
      </c>
      <c r="H11" s="21">
        <f t="shared" ref="H11:H22" si="2">IF(G11="","",G11-F11)</f>
        <v>586</v>
      </c>
      <c r="I11" s="60">
        <f t="shared" ref="I11:I23" si="3">IF(H11="","",H11/F11)</f>
        <v>5.0978686385384948E-2</v>
      </c>
      <c r="J11" s="92">
        <v>13179</v>
      </c>
      <c r="K11" s="42">
        <v>14291</v>
      </c>
      <c r="L11" s="21">
        <f t="shared" ref="L11:L22" si="4">IF(K11="","",K11-J11)</f>
        <v>1112</v>
      </c>
      <c r="M11" s="58">
        <f t="shared" ref="M11:M23" si="5">IF(L11="","",L11/J11)</f>
        <v>8.4376659837620452E-2</v>
      </c>
      <c r="N11" s="33">
        <f>SUM(B11,F11,J11)</f>
        <v>38527</v>
      </c>
      <c r="O11" s="30">
        <f t="shared" ref="O11:O22" si="6">IF(C11="","",SUM(C11,G11,K11))</f>
        <v>40501</v>
      </c>
      <c r="P11" s="21">
        <f t="shared" ref="P11:P22" si="7">IF(O11="","",O11-N11)</f>
        <v>1974</v>
      </c>
      <c r="Q11" s="58">
        <f t="shared" ref="Q11:Q23" si="8">IF(P11="","",P11/N11)</f>
        <v>5.1236794974952628E-2</v>
      </c>
    </row>
    <row r="12" spans="1:17" ht="11.25" customHeight="1" x14ac:dyDescent="0.2">
      <c r="A12" s="20" t="s">
        <v>7</v>
      </c>
      <c r="B12" s="92">
        <v>14822</v>
      </c>
      <c r="C12" s="42">
        <v>14312</v>
      </c>
      <c r="D12" s="21">
        <f t="shared" si="0"/>
        <v>-510</v>
      </c>
      <c r="E12" s="60">
        <f t="shared" si="1"/>
        <v>-3.4408311968695184E-2</v>
      </c>
      <c r="F12" s="92">
        <v>12530</v>
      </c>
      <c r="G12" s="42">
        <v>12818</v>
      </c>
      <c r="H12" s="21">
        <f t="shared" si="2"/>
        <v>288</v>
      </c>
      <c r="I12" s="60">
        <f t="shared" si="3"/>
        <v>2.2984836392657623E-2</v>
      </c>
      <c r="J12" s="92">
        <v>16218</v>
      </c>
      <c r="K12" s="42">
        <v>16434</v>
      </c>
      <c r="L12" s="21">
        <f t="shared" si="4"/>
        <v>216</v>
      </c>
      <c r="M12" s="58">
        <f t="shared" si="5"/>
        <v>1.3318534961154272E-2</v>
      </c>
      <c r="N12" s="33">
        <f t="shared" ref="N12:N22" si="9">SUM(B12,F12,J12)</f>
        <v>43570</v>
      </c>
      <c r="O12" s="30">
        <f t="shared" si="6"/>
        <v>43564</v>
      </c>
      <c r="P12" s="21">
        <f t="shared" si="7"/>
        <v>-6</v>
      </c>
      <c r="Q12" s="58">
        <f t="shared" si="8"/>
        <v>-1.3770943309616708E-4</v>
      </c>
    </row>
    <row r="13" spans="1:17" ht="11.25" customHeight="1" x14ac:dyDescent="0.2">
      <c r="A13" s="87" t="s">
        <v>8</v>
      </c>
      <c r="B13" s="93">
        <v>16331</v>
      </c>
      <c r="C13" s="43">
        <v>17197</v>
      </c>
      <c r="D13" s="22">
        <f t="shared" si="0"/>
        <v>866</v>
      </c>
      <c r="E13" s="61">
        <f t="shared" si="1"/>
        <v>5.3027983589492379E-2</v>
      </c>
      <c r="F13" s="93">
        <v>13878</v>
      </c>
      <c r="G13" s="43">
        <v>14733</v>
      </c>
      <c r="H13" s="22">
        <f t="shared" si="2"/>
        <v>855</v>
      </c>
      <c r="I13" s="61">
        <f t="shared" si="3"/>
        <v>6.1608300907911806E-2</v>
      </c>
      <c r="J13" s="93">
        <v>17063</v>
      </c>
      <c r="K13" s="43">
        <v>19038</v>
      </c>
      <c r="L13" s="22">
        <f t="shared" si="4"/>
        <v>1975</v>
      </c>
      <c r="M13" s="59">
        <f t="shared" si="5"/>
        <v>0.11574752388208404</v>
      </c>
      <c r="N13" s="35">
        <f t="shared" si="9"/>
        <v>47272</v>
      </c>
      <c r="O13" s="31">
        <f t="shared" si="6"/>
        <v>50968</v>
      </c>
      <c r="P13" s="22">
        <f t="shared" si="7"/>
        <v>3696</v>
      </c>
      <c r="Q13" s="59">
        <f t="shared" si="8"/>
        <v>7.8185818243357588E-2</v>
      </c>
    </row>
    <row r="14" spans="1:17" ht="11.25" customHeight="1" x14ac:dyDescent="0.2">
      <c r="A14" s="20" t="s">
        <v>9</v>
      </c>
      <c r="B14" s="92">
        <v>15887</v>
      </c>
      <c r="C14" s="42">
        <v>13787</v>
      </c>
      <c r="D14" s="21">
        <f t="shared" si="0"/>
        <v>-2100</v>
      </c>
      <c r="E14" s="60">
        <f t="shared" si="1"/>
        <v>-0.13218354629571347</v>
      </c>
      <c r="F14" s="92">
        <v>13510</v>
      </c>
      <c r="G14" s="42">
        <v>12122</v>
      </c>
      <c r="H14" s="21">
        <f t="shared" si="2"/>
        <v>-1388</v>
      </c>
      <c r="I14" s="60">
        <f t="shared" si="3"/>
        <v>-0.10273871206513693</v>
      </c>
      <c r="J14" s="92">
        <v>16702</v>
      </c>
      <c r="K14" s="42">
        <v>15118</v>
      </c>
      <c r="L14" s="21">
        <f t="shared" si="4"/>
        <v>-1584</v>
      </c>
      <c r="M14" s="58">
        <f t="shared" si="5"/>
        <v>-9.483894144413843E-2</v>
      </c>
      <c r="N14" s="33">
        <f t="shared" si="9"/>
        <v>46099</v>
      </c>
      <c r="O14" s="30">
        <f t="shared" si="6"/>
        <v>41027</v>
      </c>
      <c r="P14" s="21">
        <f t="shared" si="7"/>
        <v>-5072</v>
      </c>
      <c r="Q14" s="58">
        <f t="shared" si="8"/>
        <v>-0.11002407861341895</v>
      </c>
    </row>
    <row r="15" spans="1:17" ht="11.25" customHeight="1" x14ac:dyDescent="0.2">
      <c r="A15" s="20" t="s">
        <v>10</v>
      </c>
      <c r="B15" s="92">
        <v>14688</v>
      </c>
      <c r="C15" s="42">
        <v>15375</v>
      </c>
      <c r="D15" s="21">
        <f t="shared" si="0"/>
        <v>687</v>
      </c>
      <c r="E15" s="60">
        <f t="shared" si="1"/>
        <v>4.6772875816993464E-2</v>
      </c>
      <c r="F15" s="92">
        <v>11982</v>
      </c>
      <c r="G15" s="42">
        <v>13375</v>
      </c>
      <c r="H15" s="21">
        <f t="shared" si="2"/>
        <v>1393</v>
      </c>
      <c r="I15" s="60">
        <f t="shared" si="3"/>
        <v>0.11625771991320313</v>
      </c>
      <c r="J15" s="92">
        <v>14360</v>
      </c>
      <c r="K15" s="42">
        <v>17509</v>
      </c>
      <c r="L15" s="21">
        <f t="shared" si="4"/>
        <v>3149</v>
      </c>
      <c r="M15" s="58">
        <f t="shared" si="5"/>
        <v>0.21928969359331477</v>
      </c>
      <c r="N15" s="33">
        <f t="shared" si="9"/>
        <v>41030</v>
      </c>
      <c r="O15" s="30">
        <f t="shared" si="6"/>
        <v>46259</v>
      </c>
      <c r="P15" s="21">
        <f t="shared" si="7"/>
        <v>5229</v>
      </c>
      <c r="Q15" s="58">
        <f t="shared" si="8"/>
        <v>0.12744333414574702</v>
      </c>
    </row>
    <row r="16" spans="1:17" ht="11.25" customHeight="1" x14ac:dyDescent="0.2">
      <c r="A16" s="87" t="s">
        <v>11</v>
      </c>
      <c r="B16" s="93">
        <v>16156</v>
      </c>
      <c r="C16" s="43">
        <v>14499</v>
      </c>
      <c r="D16" s="22">
        <f t="shared" si="0"/>
        <v>-1657</v>
      </c>
      <c r="E16" s="61">
        <f t="shared" si="1"/>
        <v>-0.10256251547412726</v>
      </c>
      <c r="F16" s="93">
        <v>12881</v>
      </c>
      <c r="G16" s="43">
        <v>12421</v>
      </c>
      <c r="H16" s="22">
        <f t="shared" si="2"/>
        <v>-460</v>
      </c>
      <c r="I16" s="61">
        <f t="shared" si="3"/>
        <v>-3.5711513081282509E-2</v>
      </c>
      <c r="J16" s="93">
        <v>16490</v>
      </c>
      <c r="K16" s="43">
        <v>16338</v>
      </c>
      <c r="L16" s="22">
        <f t="shared" si="4"/>
        <v>-152</v>
      </c>
      <c r="M16" s="59">
        <f t="shared" si="5"/>
        <v>-9.2177077016373562E-3</v>
      </c>
      <c r="N16" s="35">
        <f t="shared" si="9"/>
        <v>45527</v>
      </c>
      <c r="O16" s="31">
        <f t="shared" si="6"/>
        <v>43258</v>
      </c>
      <c r="P16" s="22">
        <f t="shared" si="7"/>
        <v>-2269</v>
      </c>
      <c r="Q16" s="59">
        <f t="shared" si="8"/>
        <v>-4.983855733960068E-2</v>
      </c>
    </row>
    <row r="17" spans="1:21" ht="11.25" customHeight="1" x14ac:dyDescent="0.2">
      <c r="A17" s="20" t="s">
        <v>12</v>
      </c>
      <c r="B17" s="92">
        <v>14784</v>
      </c>
      <c r="C17" s="42">
        <v>15304</v>
      </c>
      <c r="D17" s="21">
        <f t="shared" si="0"/>
        <v>520</v>
      </c>
      <c r="E17" s="60">
        <f t="shared" si="1"/>
        <v>3.5173160173160176E-2</v>
      </c>
      <c r="F17" s="92">
        <v>13173</v>
      </c>
      <c r="G17" s="42">
        <v>12695</v>
      </c>
      <c r="H17" s="21">
        <f t="shared" si="2"/>
        <v>-478</v>
      </c>
      <c r="I17" s="60">
        <f t="shared" si="3"/>
        <v>-3.6286343277916952E-2</v>
      </c>
      <c r="J17" s="92">
        <v>15555</v>
      </c>
      <c r="K17" s="42">
        <v>18091</v>
      </c>
      <c r="L17" s="21">
        <f t="shared" si="4"/>
        <v>2536</v>
      </c>
      <c r="M17" s="58">
        <f t="shared" si="5"/>
        <v>0.16303439408550305</v>
      </c>
      <c r="N17" s="33">
        <f t="shared" si="9"/>
        <v>43512</v>
      </c>
      <c r="O17" s="30">
        <f t="shared" si="6"/>
        <v>46090</v>
      </c>
      <c r="P17" s="21">
        <f t="shared" si="7"/>
        <v>2578</v>
      </c>
      <c r="Q17" s="58">
        <f t="shared" si="8"/>
        <v>5.9248023533737822E-2</v>
      </c>
    </row>
    <row r="18" spans="1:21" ht="11.25" customHeight="1" x14ac:dyDescent="0.2">
      <c r="A18" s="20" t="s">
        <v>13</v>
      </c>
      <c r="B18" s="92">
        <v>13894</v>
      </c>
      <c r="C18" s="42">
        <v>14457</v>
      </c>
      <c r="D18" s="21">
        <f t="shared" si="0"/>
        <v>563</v>
      </c>
      <c r="E18" s="60">
        <f t="shared" si="1"/>
        <v>4.0521088239527853E-2</v>
      </c>
      <c r="F18" s="92">
        <v>10476</v>
      </c>
      <c r="G18" s="42">
        <v>11212</v>
      </c>
      <c r="H18" s="21">
        <f t="shared" si="2"/>
        <v>736</v>
      </c>
      <c r="I18" s="60">
        <f t="shared" si="3"/>
        <v>7.0255822833142426E-2</v>
      </c>
      <c r="J18" s="92">
        <v>15729</v>
      </c>
      <c r="K18" s="42">
        <v>17761</v>
      </c>
      <c r="L18" s="21">
        <f t="shared" si="4"/>
        <v>2032</v>
      </c>
      <c r="M18" s="58">
        <f t="shared" si="5"/>
        <v>0.12918812384766992</v>
      </c>
      <c r="N18" s="33">
        <f t="shared" si="9"/>
        <v>40099</v>
      </c>
      <c r="O18" s="30">
        <f t="shared" si="6"/>
        <v>43430</v>
      </c>
      <c r="P18" s="21">
        <f t="shared" si="7"/>
        <v>3331</v>
      </c>
      <c r="Q18" s="58">
        <f t="shared" si="8"/>
        <v>8.3069403227013144E-2</v>
      </c>
    </row>
    <row r="19" spans="1:21" ht="11.25" customHeight="1" x14ac:dyDescent="0.2">
      <c r="A19" s="87" t="s">
        <v>14</v>
      </c>
      <c r="B19" s="93">
        <v>16217</v>
      </c>
      <c r="C19" s="43">
        <v>15927</v>
      </c>
      <c r="D19" s="22">
        <f t="shared" si="0"/>
        <v>-290</v>
      </c>
      <c r="E19" s="61">
        <f t="shared" si="1"/>
        <v>-1.7882469013997655E-2</v>
      </c>
      <c r="F19" s="93">
        <v>12909</v>
      </c>
      <c r="G19" s="43">
        <v>14572</v>
      </c>
      <c r="H19" s="22">
        <f t="shared" si="2"/>
        <v>1663</v>
      </c>
      <c r="I19" s="61">
        <f t="shared" si="3"/>
        <v>0.12882485087923154</v>
      </c>
      <c r="J19" s="93">
        <v>16460</v>
      </c>
      <c r="K19" s="43">
        <v>17515</v>
      </c>
      <c r="L19" s="22">
        <f t="shared" si="4"/>
        <v>1055</v>
      </c>
      <c r="M19" s="59">
        <f t="shared" si="5"/>
        <v>6.4094775212636693E-2</v>
      </c>
      <c r="N19" s="35">
        <f t="shared" si="9"/>
        <v>45586</v>
      </c>
      <c r="O19" s="31">
        <f t="shared" si="6"/>
        <v>48014</v>
      </c>
      <c r="P19" s="22">
        <f t="shared" si="7"/>
        <v>2428</v>
      </c>
      <c r="Q19" s="59">
        <f t="shared" si="8"/>
        <v>5.326196639319089E-2</v>
      </c>
    </row>
    <row r="20" spans="1:21" ht="11.25" customHeight="1" x14ac:dyDescent="0.2">
      <c r="A20" s="20" t="s">
        <v>15</v>
      </c>
      <c r="B20" s="92">
        <v>14554</v>
      </c>
      <c r="C20" s="42"/>
      <c r="D20" s="21" t="str">
        <f t="shared" si="0"/>
        <v/>
      </c>
      <c r="E20" s="60" t="str">
        <f t="shared" si="1"/>
        <v/>
      </c>
      <c r="F20" s="92">
        <v>13105</v>
      </c>
      <c r="G20" s="42"/>
      <c r="H20" s="21" t="str">
        <f t="shared" si="2"/>
        <v/>
      </c>
      <c r="I20" s="60" t="str">
        <f t="shared" si="3"/>
        <v/>
      </c>
      <c r="J20" s="92">
        <v>15304</v>
      </c>
      <c r="K20" s="42"/>
      <c r="L20" s="21" t="str">
        <f t="shared" si="4"/>
        <v/>
      </c>
      <c r="M20" s="58" t="str">
        <f t="shared" si="5"/>
        <v/>
      </c>
      <c r="N20" s="33">
        <f t="shared" si="9"/>
        <v>42963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92">
        <v>16057</v>
      </c>
      <c r="C21" s="42"/>
      <c r="D21" s="21" t="str">
        <f t="shared" si="0"/>
        <v/>
      </c>
      <c r="E21" s="60" t="str">
        <f t="shared" si="1"/>
        <v/>
      </c>
      <c r="F21" s="92">
        <v>13574</v>
      </c>
      <c r="G21" s="42"/>
      <c r="H21" s="21" t="str">
        <f t="shared" si="2"/>
        <v/>
      </c>
      <c r="I21" s="60" t="str">
        <f t="shared" si="3"/>
        <v/>
      </c>
      <c r="J21" s="92">
        <v>16015</v>
      </c>
      <c r="K21" s="42"/>
      <c r="L21" s="21" t="str">
        <f t="shared" si="4"/>
        <v/>
      </c>
      <c r="M21" s="58" t="str">
        <f t="shared" si="5"/>
        <v/>
      </c>
      <c r="N21" s="33">
        <f t="shared" si="9"/>
        <v>45646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94">
        <v>12331</v>
      </c>
      <c r="C22" s="44"/>
      <c r="D22" s="21" t="str">
        <f t="shared" si="0"/>
        <v/>
      </c>
      <c r="E22" s="88" t="str">
        <f t="shared" si="1"/>
        <v/>
      </c>
      <c r="F22" s="94">
        <v>11117</v>
      </c>
      <c r="G22" s="44"/>
      <c r="H22" s="21" t="str">
        <f t="shared" si="2"/>
        <v/>
      </c>
      <c r="I22" s="88" t="str">
        <f t="shared" si="3"/>
        <v/>
      </c>
      <c r="J22" s="94">
        <v>13927</v>
      </c>
      <c r="K22" s="44"/>
      <c r="L22" s="21" t="str">
        <f t="shared" si="4"/>
        <v/>
      </c>
      <c r="M22" s="52" t="str">
        <f t="shared" si="5"/>
        <v/>
      </c>
      <c r="N22" s="34">
        <f t="shared" si="9"/>
        <v>37375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 x14ac:dyDescent="0.25">
      <c r="A23" s="39" t="s">
        <v>3</v>
      </c>
      <c r="B23" s="36">
        <f>IF(C24&lt;7,B24,B25)</f>
        <v>136632</v>
      </c>
      <c r="C23" s="37">
        <f>IF(C11="","",SUM(C11:C22))</f>
        <v>134987</v>
      </c>
      <c r="D23" s="38">
        <f>IF(D11="","",SUM(D11:D22))</f>
        <v>-1645</v>
      </c>
      <c r="E23" s="53">
        <f t="shared" si="1"/>
        <v>-1.2039639323145383E-2</v>
      </c>
      <c r="F23" s="36">
        <f>IF(G24&lt;7,F24,F25)</f>
        <v>112834</v>
      </c>
      <c r="G23" s="37">
        <f>IF(G11="","",SUM(G11:G22))</f>
        <v>116029</v>
      </c>
      <c r="H23" s="38">
        <f>IF(H11="","",SUM(H11:H22))</f>
        <v>3195</v>
      </c>
      <c r="I23" s="53">
        <f t="shared" si="3"/>
        <v>2.8315933140719996E-2</v>
      </c>
      <c r="J23" s="36">
        <f>IF(K24&lt;7,J24,J25)</f>
        <v>141756</v>
      </c>
      <c r="K23" s="37">
        <f>IF(K11="","",SUM(K11:K22))</f>
        <v>152095</v>
      </c>
      <c r="L23" s="38">
        <f>IF(L11="","",SUM(L11:L22))</f>
        <v>10339</v>
      </c>
      <c r="M23" s="53">
        <f t="shared" si="5"/>
        <v>7.2935184401365732E-2</v>
      </c>
      <c r="N23" s="36">
        <f>IF(O24&lt;7,N24,N25)</f>
        <v>391222</v>
      </c>
      <c r="O23" s="37">
        <f>IF(O11="","",SUM(O11:O22))</f>
        <v>403111</v>
      </c>
      <c r="P23" s="38">
        <f>IF(P11="","",SUM(P11:P22))</f>
        <v>11889</v>
      </c>
      <c r="Q23" s="53">
        <f t="shared" si="8"/>
        <v>3.0389395279406577E-2</v>
      </c>
    </row>
    <row r="24" spans="1:21" ht="11.25" customHeight="1" x14ac:dyDescent="0.2">
      <c r="A24" s="102" t="s">
        <v>28</v>
      </c>
      <c r="B24" s="103" t="str">
        <f>IF(C24=1,B11,IF(C24=2,SUM(B11:B12),IF(C24=3,SUM(B11:B13),IF(C24=4,SUM(B11:B14),IF(C24=5,SUM(B11:B15),IF(C24=6,SUM(B11:B16),""))))))</f>
        <v/>
      </c>
      <c r="C24" s="103">
        <f>COUNTIF(C11:C22,"&gt;0")</f>
        <v>9</v>
      </c>
      <c r="D24" s="103"/>
      <c r="E24" s="104"/>
      <c r="F24" s="103" t="str">
        <f>IF(G24=1,F11,IF(G24=2,SUM(F11:F12),IF(G24=3,SUM(F11:F13),IF(G24=4,SUM(F11:F14),IF(G24=5,SUM(F11:F15),IF(G24=6,SUM(F11:F16),""))))))</f>
        <v/>
      </c>
      <c r="G24" s="103">
        <f>COUNTIF(G11:G22,"&gt;0")</f>
        <v>9</v>
      </c>
      <c r="H24" s="103"/>
      <c r="I24" s="104"/>
      <c r="J24" s="103" t="str">
        <f>IF(K24=1,J11,IF(K24=2,SUM(J11:J12),IF(K24=3,SUM(J11:J13),IF(K24=4,SUM(J11:J14),IF(K24=5,SUM(J11:J15),IF(K24=6,SUM(J11:J16),""))))))</f>
        <v/>
      </c>
      <c r="K24" s="103">
        <f>COUNTIF(K11:K22,"&gt;0")</f>
        <v>9</v>
      </c>
      <c r="L24" s="103"/>
      <c r="M24" s="104"/>
      <c r="N24" s="103" t="str">
        <f>IF(O24=1,N11,IF(O24=2,SUM(N11:N12),IF(O24=3,SUM(N11:N13),IF(O24=4,SUM(N11:N14),IF(O24=5,SUM(N11:N15),IF(O24=6,SUM(N11:N16),""))))))</f>
        <v/>
      </c>
      <c r="O24" s="103">
        <f>COUNTIF(O11:O22,"&gt;0")</f>
        <v>9</v>
      </c>
      <c r="P24" s="106"/>
      <c r="Q24" s="107"/>
      <c r="R24" s="105"/>
      <c r="S24" s="105"/>
    </row>
    <row r="25" spans="1:21" ht="11.25" customHeight="1" x14ac:dyDescent="0.2">
      <c r="B25" s="76">
        <f>IF(C24=7,SUM(B11:B17),IF(C24=8,SUM(B11:B18),IF(C24=9,SUM(B11:B19),IF(C24=10,SUM(B11:B20),IF(C24=11,SUM(B11:B21),SUM(B11:B22))))))</f>
        <v>136632</v>
      </c>
      <c r="F25" s="76">
        <f>IF(G24=7,SUM(F11:F17),IF(G24=8,SUM(F11:F18),IF(G24=9,SUM(F11:F19),IF(G24=10,SUM(F11:F20),IF(G24=11,SUM(F11:F21),SUM(F11:F22))))))</f>
        <v>112834</v>
      </c>
      <c r="J25" s="76">
        <f>IF(K24=7,SUM(J11:J17),IF(K24=8,SUM(J11:J18),IF(K24=9,SUM(J11:J19),IF(K24=10,SUM(J11:J20),IF(K24=11,SUM(J11:J21),SUM(J11:J22))))))</f>
        <v>141756</v>
      </c>
      <c r="N25" s="76">
        <f>IF(O24=7,SUM(N11:N17),IF(O24=8,SUM(N11:N18),IF(O24=9,SUM(N11:N19),IF(O24=10,SUM(N11:N20),IF(O24=11,SUM(N11:N21),SUM(N11:N22))))))</f>
        <v>391222</v>
      </c>
    </row>
    <row r="26" spans="1:21" ht="11.25" customHeight="1" x14ac:dyDescent="0.2">
      <c r="A26" s="7"/>
      <c r="B26" s="117" t="s">
        <v>22</v>
      </c>
      <c r="C26" s="118"/>
      <c r="D26" s="118"/>
      <c r="E26" s="118"/>
      <c r="F26" s="9"/>
    </row>
    <row r="27" spans="1:21" ht="11.25" customHeight="1" thickBot="1" x14ac:dyDescent="0.25">
      <c r="B27" s="119"/>
      <c r="C27" s="119"/>
      <c r="D27" s="119"/>
      <c r="E27" s="119"/>
    </row>
    <row r="28" spans="1:21" ht="11.25" customHeight="1" thickBot="1" x14ac:dyDescent="0.25">
      <c r="A28" s="25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</row>
    <row r="30" spans="1:21" ht="11.25" customHeight="1" thickBot="1" x14ac:dyDescent="0.25">
      <c r="A30" s="74" t="s">
        <v>24</v>
      </c>
      <c r="B30" s="11">
        <f>T43</f>
        <v>189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1" t="s">
        <v>23</v>
      </c>
      <c r="S30" s="142"/>
    </row>
    <row r="31" spans="1:21" ht="11.25" customHeight="1" x14ac:dyDescent="0.2">
      <c r="A31" s="20" t="s">
        <v>6</v>
      </c>
      <c r="B31" s="65">
        <f>IF(C11="","",B11/$R31)</f>
        <v>659.66666666666663</v>
      </c>
      <c r="C31" s="68">
        <f>IF(C11="","",C11/$S31)</f>
        <v>642.22727272727275</v>
      </c>
      <c r="D31" s="64">
        <f>IF(C31="","",C31-B31)</f>
        <v>-17.439393939393881</v>
      </c>
      <c r="E31" s="60">
        <f>IF(C31="","",(C31-B31)/ABS(B31))</f>
        <v>-2.6436676007166066E-2</v>
      </c>
      <c r="F31" s="65">
        <f>IF(G11="","",F11/$R31)</f>
        <v>547.38095238095241</v>
      </c>
      <c r="G31" s="68">
        <f>IF(G11="","",G11/$S31)</f>
        <v>549.13636363636363</v>
      </c>
      <c r="H31" s="80">
        <f>IF(G31="","",G31-F31)</f>
        <v>1.755411255411218</v>
      </c>
      <c r="I31" s="60">
        <f>IF(G31="","",(G31-F31)/ABS(F31))</f>
        <v>3.2069279133219294E-3</v>
      </c>
      <c r="J31" s="65">
        <f>IF(K11="","",J11/$R31)</f>
        <v>627.57142857142856</v>
      </c>
      <c r="K31" s="68">
        <f>IF(K11="","",K11/$S31)</f>
        <v>649.59090909090912</v>
      </c>
      <c r="L31" s="80">
        <f>IF(K31="","",K31-J31)</f>
        <v>22.019480519480567</v>
      </c>
      <c r="M31" s="60">
        <f>IF(K31="","",(K31-J31)/ABS(J31))</f>
        <v>3.508681166318324E-2</v>
      </c>
      <c r="N31" s="65">
        <f>IF(O11="","",N11/$R31)</f>
        <v>1834.6190476190477</v>
      </c>
      <c r="O31" s="68">
        <f>IF(O11="","",O11/$S31)</f>
        <v>1840.9545454545455</v>
      </c>
      <c r="P31" s="80">
        <f>IF(O31="","",O31-N31)</f>
        <v>6.3354978354977902</v>
      </c>
      <c r="Q31" s="58">
        <f>IF(O31="","",(O31-N31)/ABS(N31))</f>
        <v>3.4533042942729406E-3</v>
      </c>
      <c r="R31" s="56">
        <v>21</v>
      </c>
      <c r="S31" s="56">
        <v>22</v>
      </c>
      <c r="T31" s="77">
        <f>IF(OR(N31="",N31=0),"",R31)</f>
        <v>21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ref="B32:B42" si="10">IF(C12="","",B12/$R32)</f>
        <v>741.1</v>
      </c>
      <c r="C32" s="68">
        <f t="shared" ref="C32:C42" si="11">IF(C12="","",C12/$S32)</f>
        <v>715.6</v>
      </c>
      <c r="D32" s="64">
        <f t="shared" ref="D32:D42" si="12">IF(C32="","",C32-B32)</f>
        <v>-25.5</v>
      </c>
      <c r="E32" s="60">
        <f t="shared" ref="E32:E43" si="13">IF(C32="","",(C32-B32)/ABS(B32))</f>
        <v>-3.4408311968695184E-2</v>
      </c>
      <c r="F32" s="65">
        <f t="shared" ref="F32:F42" si="14">IF(G12="","",F12/$R32)</f>
        <v>626.5</v>
      </c>
      <c r="G32" s="68">
        <f t="shared" ref="G32:G42" si="15">IF(G12="","",G12/$S32)</f>
        <v>640.9</v>
      </c>
      <c r="H32" s="80">
        <f t="shared" ref="H32:H42" si="16">IF(G32="","",G32-F32)</f>
        <v>14.399999999999977</v>
      </c>
      <c r="I32" s="60">
        <f t="shared" ref="I32:I43" si="17">IF(G32="","",(G32-F32)/ABS(F32))</f>
        <v>2.2984836392657585E-2</v>
      </c>
      <c r="J32" s="65">
        <f t="shared" ref="J32:J42" si="18">IF(K12="","",J12/$R32)</f>
        <v>810.9</v>
      </c>
      <c r="K32" s="68">
        <f t="shared" ref="K32:K42" si="19">IF(K12="","",K12/$S32)</f>
        <v>821.7</v>
      </c>
      <c r="L32" s="80">
        <f t="shared" ref="L32:L42" si="20">IF(K32="","",K32-J32)</f>
        <v>10.800000000000068</v>
      </c>
      <c r="M32" s="60">
        <f t="shared" ref="M32:M43" si="21">IF(K32="","",(K32-J32)/ABS(J32))</f>
        <v>1.3318534961154357E-2</v>
      </c>
      <c r="N32" s="65">
        <f t="shared" ref="N32:N42" si="22">IF(O12="","",N12/$R32)</f>
        <v>2178.5</v>
      </c>
      <c r="O32" s="68">
        <f t="shared" ref="O32:O42" si="23">IF(O12="","",O12/$S32)</f>
        <v>2178.1999999999998</v>
      </c>
      <c r="P32" s="80">
        <f t="shared" ref="P32:P42" si="24">IF(O32="","",O32-N32)</f>
        <v>-0.3000000000001819</v>
      </c>
      <c r="Q32" s="58">
        <f t="shared" ref="Q32:Q43" si="25">IF(O32="","",(O32-N32)/ABS(N32))</f>
        <v>-1.3770943309625059E-4</v>
      </c>
      <c r="R32" s="56">
        <v>20</v>
      </c>
      <c r="S32" s="56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41" t="s">
        <v>8</v>
      </c>
      <c r="B33" s="66">
        <f t="shared" si="10"/>
        <v>742.31818181818187</v>
      </c>
      <c r="C33" s="69">
        <f t="shared" si="11"/>
        <v>747.695652173913</v>
      </c>
      <c r="D33" s="71">
        <f t="shared" si="12"/>
        <v>5.3774703557311341</v>
      </c>
      <c r="E33" s="61">
        <f t="shared" si="13"/>
        <v>7.2441582160360628E-3</v>
      </c>
      <c r="F33" s="66">
        <f t="shared" si="14"/>
        <v>630.81818181818187</v>
      </c>
      <c r="G33" s="69">
        <f t="shared" si="15"/>
        <v>640.56521739130437</v>
      </c>
      <c r="H33" s="81">
        <f t="shared" si="16"/>
        <v>9.7470355731225027</v>
      </c>
      <c r="I33" s="61">
        <f t="shared" si="17"/>
        <v>1.5451418259741681E-2</v>
      </c>
      <c r="J33" s="66">
        <f t="shared" si="18"/>
        <v>775.59090909090912</v>
      </c>
      <c r="K33" s="69">
        <f t="shared" si="19"/>
        <v>827.73913043478262</v>
      </c>
      <c r="L33" s="81">
        <f t="shared" si="20"/>
        <v>52.148221343873502</v>
      </c>
      <c r="M33" s="61">
        <f t="shared" si="21"/>
        <v>6.7236761974167322E-2</v>
      </c>
      <c r="N33" s="66">
        <f t="shared" si="22"/>
        <v>2148.7272727272725</v>
      </c>
      <c r="O33" s="69">
        <f t="shared" si="23"/>
        <v>2216</v>
      </c>
      <c r="P33" s="81">
        <f t="shared" si="24"/>
        <v>67.272727272727479</v>
      </c>
      <c r="Q33" s="59">
        <f t="shared" si="25"/>
        <v>3.1308173971907362E-2</v>
      </c>
      <c r="R33" s="85">
        <v>22</v>
      </c>
      <c r="S33" s="85">
        <v>23</v>
      </c>
      <c r="T33" s="77">
        <f t="shared" si="26"/>
        <v>22</v>
      </c>
      <c r="U33" s="77">
        <f t="shared" si="26"/>
        <v>23</v>
      </c>
    </row>
    <row r="34" spans="1:21" ht="11.25" customHeight="1" x14ac:dyDescent="0.2">
      <c r="A34" s="20" t="s">
        <v>9</v>
      </c>
      <c r="B34" s="65">
        <f t="shared" si="10"/>
        <v>794.35</v>
      </c>
      <c r="C34" s="68">
        <f t="shared" si="11"/>
        <v>765.94444444444446</v>
      </c>
      <c r="D34" s="64">
        <f t="shared" si="12"/>
        <v>-28.405555555555566</v>
      </c>
      <c r="E34" s="60">
        <f t="shared" si="13"/>
        <v>-3.5759495884126094E-2</v>
      </c>
      <c r="F34" s="65">
        <f t="shared" si="14"/>
        <v>675.5</v>
      </c>
      <c r="G34" s="68">
        <f t="shared" si="15"/>
        <v>673.44444444444446</v>
      </c>
      <c r="H34" s="80">
        <f t="shared" si="16"/>
        <v>-2.0555555555555429</v>
      </c>
      <c r="I34" s="60">
        <f t="shared" si="17"/>
        <v>-3.0430134057076877E-3</v>
      </c>
      <c r="J34" s="65">
        <f t="shared" si="18"/>
        <v>835.1</v>
      </c>
      <c r="K34" s="68">
        <f t="shared" si="19"/>
        <v>839.88888888888891</v>
      </c>
      <c r="L34" s="80">
        <f t="shared" si="20"/>
        <v>4.7888888888888914</v>
      </c>
      <c r="M34" s="60">
        <f t="shared" si="21"/>
        <v>5.7345095065128625E-3</v>
      </c>
      <c r="N34" s="65">
        <f t="shared" si="22"/>
        <v>2304.9499999999998</v>
      </c>
      <c r="O34" s="68">
        <f t="shared" si="23"/>
        <v>2279.2777777777778</v>
      </c>
      <c r="P34" s="80">
        <f t="shared" si="24"/>
        <v>-25.67222222222199</v>
      </c>
      <c r="Q34" s="58">
        <f t="shared" si="25"/>
        <v>-1.1137865126020951E-2</v>
      </c>
      <c r="R34" s="56">
        <v>20</v>
      </c>
      <c r="S34" s="56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10</v>
      </c>
      <c r="B35" s="65">
        <f t="shared" si="10"/>
        <v>816</v>
      </c>
      <c r="C35" s="68">
        <f t="shared" si="11"/>
        <v>732.14285714285711</v>
      </c>
      <c r="D35" s="64">
        <f t="shared" si="12"/>
        <v>-83.85714285714289</v>
      </c>
      <c r="E35" s="60">
        <f t="shared" si="13"/>
        <v>-0.10276610644257707</v>
      </c>
      <c r="F35" s="65">
        <f t="shared" si="14"/>
        <v>665.66666666666663</v>
      </c>
      <c r="G35" s="68">
        <f t="shared" si="15"/>
        <v>636.90476190476193</v>
      </c>
      <c r="H35" s="80">
        <f t="shared" si="16"/>
        <v>-28.761904761904702</v>
      </c>
      <c r="I35" s="60">
        <f t="shared" si="17"/>
        <v>-4.3207668645825793E-2</v>
      </c>
      <c r="J35" s="65">
        <f t="shared" si="18"/>
        <v>797.77777777777783</v>
      </c>
      <c r="K35" s="68">
        <f t="shared" si="19"/>
        <v>833.76190476190482</v>
      </c>
      <c r="L35" s="80">
        <f t="shared" si="20"/>
        <v>35.984126984126988</v>
      </c>
      <c r="M35" s="60">
        <f t="shared" si="21"/>
        <v>4.5105451651412658E-2</v>
      </c>
      <c r="N35" s="65">
        <f t="shared" si="22"/>
        <v>2279.4444444444443</v>
      </c>
      <c r="O35" s="68">
        <f t="shared" si="23"/>
        <v>2202.8095238095239</v>
      </c>
      <c r="P35" s="80">
        <f t="shared" si="24"/>
        <v>-76.634920634920491</v>
      </c>
      <c r="Q35" s="58">
        <f t="shared" si="25"/>
        <v>-3.3619999303645356E-2</v>
      </c>
      <c r="R35" s="56">
        <v>18</v>
      </c>
      <c r="S35" s="56">
        <v>21</v>
      </c>
      <c r="T35" s="77">
        <f t="shared" si="26"/>
        <v>18</v>
      </c>
      <c r="U35" s="77">
        <f t="shared" si="26"/>
        <v>21</v>
      </c>
    </row>
    <row r="36" spans="1:21" ht="11.25" customHeight="1" x14ac:dyDescent="0.2">
      <c r="A36" s="41" t="s">
        <v>11</v>
      </c>
      <c r="B36" s="66">
        <f t="shared" si="10"/>
        <v>734.36363636363637</v>
      </c>
      <c r="C36" s="69">
        <f t="shared" si="11"/>
        <v>659.0454545454545</v>
      </c>
      <c r="D36" s="71">
        <f t="shared" si="12"/>
        <v>-75.31818181818187</v>
      </c>
      <c r="E36" s="61">
        <f t="shared" si="13"/>
        <v>-0.10256251547412733</v>
      </c>
      <c r="F36" s="66">
        <f t="shared" si="14"/>
        <v>585.5</v>
      </c>
      <c r="G36" s="69">
        <f t="shared" si="15"/>
        <v>564.59090909090912</v>
      </c>
      <c r="H36" s="81">
        <f t="shared" si="16"/>
        <v>-20.909090909090878</v>
      </c>
      <c r="I36" s="61">
        <f t="shared" si="17"/>
        <v>-3.5711513081282453E-2</v>
      </c>
      <c r="J36" s="66">
        <f t="shared" si="18"/>
        <v>749.5454545454545</v>
      </c>
      <c r="K36" s="69">
        <f t="shared" si="19"/>
        <v>742.63636363636363</v>
      </c>
      <c r="L36" s="81">
        <f t="shared" si="20"/>
        <v>-6.9090909090908781</v>
      </c>
      <c r="M36" s="61">
        <f t="shared" si="21"/>
        <v>-9.2177077016373146E-3</v>
      </c>
      <c r="N36" s="66">
        <f t="shared" si="22"/>
        <v>2069.409090909091</v>
      </c>
      <c r="O36" s="69">
        <f t="shared" si="23"/>
        <v>1966.2727272727273</v>
      </c>
      <c r="P36" s="81">
        <f t="shared" si="24"/>
        <v>-103.13636363636374</v>
      </c>
      <c r="Q36" s="59">
        <f t="shared" si="25"/>
        <v>-4.9838557339600721E-2</v>
      </c>
      <c r="R36" s="85">
        <v>22</v>
      </c>
      <c r="S36" s="85">
        <v>22</v>
      </c>
      <c r="T36" s="77">
        <f t="shared" si="26"/>
        <v>22</v>
      </c>
      <c r="U36" s="77">
        <f t="shared" si="26"/>
        <v>22</v>
      </c>
    </row>
    <row r="37" spans="1:21" ht="11.25" customHeight="1" x14ac:dyDescent="0.2">
      <c r="A37" s="20" t="s">
        <v>12</v>
      </c>
      <c r="B37" s="65">
        <f t="shared" si="10"/>
        <v>642.78260869565213</v>
      </c>
      <c r="C37" s="68">
        <f t="shared" si="11"/>
        <v>728.76190476190482</v>
      </c>
      <c r="D37" s="64">
        <f t="shared" si="12"/>
        <v>85.979296066252687</v>
      </c>
      <c r="E37" s="60">
        <f t="shared" si="13"/>
        <v>0.13376108018965177</v>
      </c>
      <c r="F37" s="65">
        <f t="shared" si="14"/>
        <v>572.73913043478262</v>
      </c>
      <c r="G37" s="68">
        <f t="shared" si="15"/>
        <v>604.52380952380952</v>
      </c>
      <c r="H37" s="80">
        <f t="shared" si="16"/>
        <v>31.784679089026895</v>
      </c>
      <c r="I37" s="60">
        <f t="shared" si="17"/>
        <v>5.5495909743233776E-2</v>
      </c>
      <c r="J37" s="65">
        <f t="shared" si="18"/>
        <v>676.304347826087</v>
      </c>
      <c r="K37" s="68">
        <f t="shared" si="19"/>
        <v>861.47619047619048</v>
      </c>
      <c r="L37" s="80">
        <f t="shared" si="20"/>
        <v>185.17184265010349</v>
      </c>
      <c r="M37" s="60">
        <f t="shared" si="21"/>
        <v>0.27379957447459852</v>
      </c>
      <c r="N37" s="65">
        <f t="shared" si="22"/>
        <v>1891.8260869565217</v>
      </c>
      <c r="O37" s="68">
        <f t="shared" si="23"/>
        <v>2194.7619047619046</v>
      </c>
      <c r="P37" s="80">
        <f t="shared" si="24"/>
        <v>302.93581780538284</v>
      </c>
      <c r="Q37" s="58">
        <f t="shared" si="25"/>
        <v>0.16012878767980798</v>
      </c>
      <c r="R37" s="56">
        <v>23</v>
      </c>
      <c r="S37" s="56">
        <v>21</v>
      </c>
      <c r="T37" s="77">
        <f t="shared" si="26"/>
        <v>23</v>
      </c>
      <c r="U37" s="77">
        <f t="shared" si="26"/>
        <v>21</v>
      </c>
    </row>
    <row r="38" spans="1:21" ht="11.25" customHeight="1" x14ac:dyDescent="0.2">
      <c r="A38" s="20" t="s">
        <v>13</v>
      </c>
      <c r="B38" s="65">
        <f t="shared" si="10"/>
        <v>661.61904761904759</v>
      </c>
      <c r="C38" s="68">
        <f t="shared" si="11"/>
        <v>657.13636363636363</v>
      </c>
      <c r="D38" s="64">
        <f t="shared" si="12"/>
        <v>-4.482683982683966</v>
      </c>
      <c r="E38" s="60">
        <f t="shared" si="13"/>
        <v>-6.7753248622688415E-3</v>
      </c>
      <c r="F38" s="65">
        <f t="shared" si="14"/>
        <v>498.85714285714283</v>
      </c>
      <c r="G38" s="68">
        <f t="shared" si="15"/>
        <v>509.63636363636363</v>
      </c>
      <c r="H38" s="80">
        <f t="shared" si="16"/>
        <v>10.779220779220793</v>
      </c>
      <c r="I38" s="60">
        <f t="shared" si="17"/>
        <v>2.1607830886181432E-2</v>
      </c>
      <c r="J38" s="65">
        <f t="shared" si="18"/>
        <v>749</v>
      </c>
      <c r="K38" s="68">
        <f t="shared" si="19"/>
        <v>807.31818181818187</v>
      </c>
      <c r="L38" s="80">
        <f t="shared" si="20"/>
        <v>58.31818181818187</v>
      </c>
      <c r="M38" s="60">
        <f t="shared" si="21"/>
        <v>7.7861390945503164E-2</v>
      </c>
      <c r="N38" s="65">
        <f t="shared" si="22"/>
        <v>1909.4761904761904</v>
      </c>
      <c r="O38" s="68">
        <f t="shared" si="23"/>
        <v>1974.090909090909</v>
      </c>
      <c r="P38" s="80">
        <f t="shared" si="24"/>
        <v>64.61471861471864</v>
      </c>
      <c r="Q38" s="58">
        <f t="shared" si="25"/>
        <v>3.3838975807603471E-2</v>
      </c>
      <c r="R38" s="56">
        <v>21</v>
      </c>
      <c r="S38" s="56">
        <v>22</v>
      </c>
      <c r="T38" s="77">
        <f t="shared" si="26"/>
        <v>21</v>
      </c>
      <c r="U38" s="77">
        <f t="shared" si="26"/>
        <v>22</v>
      </c>
    </row>
    <row r="39" spans="1:21" ht="11.25" customHeight="1" x14ac:dyDescent="0.2">
      <c r="A39" s="41" t="s">
        <v>14</v>
      </c>
      <c r="B39" s="66">
        <f t="shared" si="10"/>
        <v>737.13636363636363</v>
      </c>
      <c r="C39" s="69">
        <f t="shared" si="11"/>
        <v>758.42857142857144</v>
      </c>
      <c r="D39" s="71">
        <f t="shared" si="12"/>
        <v>21.292207792207819</v>
      </c>
      <c r="E39" s="61">
        <f t="shared" si="13"/>
        <v>2.8885032461526301E-2</v>
      </c>
      <c r="F39" s="66">
        <f t="shared" si="14"/>
        <v>586.77272727272725</v>
      </c>
      <c r="G39" s="69">
        <f t="shared" si="15"/>
        <v>693.90476190476193</v>
      </c>
      <c r="H39" s="81">
        <f t="shared" si="16"/>
        <v>107.13203463203467</v>
      </c>
      <c r="I39" s="61">
        <f t="shared" si="17"/>
        <v>0.18257841520681409</v>
      </c>
      <c r="J39" s="66">
        <f t="shared" si="18"/>
        <v>748.18181818181813</v>
      </c>
      <c r="K39" s="69">
        <f t="shared" si="19"/>
        <v>834.04761904761904</v>
      </c>
      <c r="L39" s="81">
        <f t="shared" si="20"/>
        <v>85.865800865800907</v>
      </c>
      <c r="M39" s="61">
        <f t="shared" si="21"/>
        <v>0.11476595498466707</v>
      </c>
      <c r="N39" s="66">
        <f t="shared" si="22"/>
        <v>2072.090909090909</v>
      </c>
      <c r="O39" s="69">
        <f t="shared" si="23"/>
        <v>2286.3809523809523</v>
      </c>
      <c r="P39" s="81">
        <f t="shared" si="24"/>
        <v>214.29004329004329</v>
      </c>
      <c r="Q39" s="59">
        <f t="shared" si="25"/>
        <v>0.10341729812619999</v>
      </c>
      <c r="R39" s="85">
        <v>22</v>
      </c>
      <c r="S39" s="85">
        <v>21</v>
      </c>
      <c r="T39" s="77">
        <f t="shared" si="26"/>
        <v>22</v>
      </c>
      <c r="U39" s="77">
        <f t="shared" si="26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22</v>
      </c>
      <c r="S40" s="56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2"/>
        <v/>
      </c>
      <c r="E42" s="60" t="str">
        <f t="shared" si="13"/>
        <v/>
      </c>
      <c r="F42" s="65" t="str">
        <f t="shared" si="14"/>
        <v/>
      </c>
      <c r="G42" s="68" t="str">
        <f t="shared" si="15"/>
        <v/>
      </c>
      <c r="H42" s="80" t="str">
        <f t="shared" si="16"/>
        <v/>
      </c>
      <c r="I42" s="60" t="str">
        <f t="shared" si="17"/>
        <v/>
      </c>
      <c r="J42" s="65" t="str">
        <f t="shared" si="18"/>
        <v/>
      </c>
      <c r="K42" s="68" t="str">
        <f t="shared" si="19"/>
        <v/>
      </c>
      <c r="L42" s="80" t="str">
        <f t="shared" si="20"/>
        <v/>
      </c>
      <c r="M42" s="60" t="str">
        <f t="shared" si="21"/>
        <v/>
      </c>
      <c r="N42" s="65" t="str">
        <f t="shared" si="22"/>
        <v/>
      </c>
      <c r="O42" s="68" t="str">
        <f t="shared" si="23"/>
        <v/>
      </c>
      <c r="P42" s="80" t="str">
        <f t="shared" si="24"/>
        <v/>
      </c>
      <c r="Q42" s="58" t="str">
        <f t="shared" si="25"/>
        <v/>
      </c>
      <c r="R42" s="56">
        <v>22</v>
      </c>
      <c r="S42" s="56">
        <v>19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40" t="s">
        <v>29</v>
      </c>
      <c r="B43" s="67">
        <f>AVERAGE(B31:B42)</f>
        <v>725.48183386661651</v>
      </c>
      <c r="C43" s="70">
        <f>IF(C11="","",AVERAGE(C31:C42))</f>
        <v>711.88694676230921</v>
      </c>
      <c r="D43" s="62">
        <f>IF(D31="","",AVERAGE(D31:D42))</f>
        <v>-13.594887104307393</v>
      </c>
      <c r="E43" s="54">
        <f t="shared" si="13"/>
        <v>-1.8739114433576284E-2</v>
      </c>
      <c r="F43" s="67">
        <f>AVERAGE(F31:F42)</f>
        <v>598.85942238116149</v>
      </c>
      <c r="G43" s="70">
        <f>IF(G11="","",AVERAGE(G31:G42))</f>
        <v>612.62295905919098</v>
      </c>
      <c r="H43" s="82">
        <f>IF(H31="","",AVERAGE(H31:H42))</f>
        <v>13.763536678029437</v>
      </c>
      <c r="I43" s="54">
        <f t="shared" si="17"/>
        <v>2.2982917465510427E-2</v>
      </c>
      <c r="J43" s="67">
        <f>AVERAGE(J31:J42)</f>
        <v>752.21908177705279</v>
      </c>
      <c r="K43" s="70">
        <f>IF(K11="","",AVERAGE(K31:K42))</f>
        <v>802.01768757276011</v>
      </c>
      <c r="L43" s="82">
        <f>IF(L31="","",AVERAGE(L31:L42))</f>
        <v>49.798605795707267</v>
      </c>
      <c r="M43" s="54">
        <f t="shared" si="21"/>
        <v>6.620226341249201E-2</v>
      </c>
      <c r="N43" s="67">
        <f>AVERAGE(N31:N42)</f>
        <v>2076.5603380248303</v>
      </c>
      <c r="O43" s="70">
        <f>IF(O11="","",AVERAGE(O31:O42))</f>
        <v>2126.5275933942594</v>
      </c>
      <c r="P43" s="82">
        <f>IF(P31="","",AVERAGE(P31:P42))</f>
        <v>49.967255369429296</v>
      </c>
      <c r="Q43" s="55">
        <f t="shared" si="25"/>
        <v>2.4062510707951103E-2</v>
      </c>
      <c r="R43" s="86">
        <f>SUM(R31:R42)</f>
        <v>254</v>
      </c>
      <c r="S43" s="86">
        <f>SUM(S31:S42)</f>
        <v>253</v>
      </c>
      <c r="T43" s="77">
        <f>SUM(T31:T42)</f>
        <v>189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09"/>
      <c r="C44" s="109">
        <f>COUNTIF(C31:C42,"&gt;0")</f>
        <v>9</v>
      </c>
      <c r="D44" s="110"/>
      <c r="E44" s="111"/>
      <c r="F44" s="109"/>
      <c r="G44" s="109">
        <f>COUNTIF(G31:G42,"&gt;0")</f>
        <v>9</v>
      </c>
      <c r="H44" s="110"/>
      <c r="I44" s="111"/>
      <c r="J44" s="109"/>
      <c r="K44" s="109">
        <f>COUNTIF(K31:K42,"&gt;0")</f>
        <v>9</v>
      </c>
      <c r="L44" s="110"/>
      <c r="M44" s="111"/>
      <c r="N44" s="109"/>
      <c r="O44" s="109">
        <f>COUNTIF(O31:O42,"&gt;0")</f>
        <v>9</v>
      </c>
      <c r="P44" s="114"/>
      <c r="Q44" s="116"/>
      <c r="R44" s="112"/>
      <c r="S44" s="112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SXZw6KnWtM6a645+KnDCMyZSRydS+Ub1em1Lrc2BB+kHJ2bI9/phojkeH1piVCcn7CxUE80UoHz8eMvZuZfNTA==" saltValue="HL2g0KLaFyZCseQbiKfgHQ==" spinCount="100000" sheet="1" objects="1" scenarios="1" selectLockedCells="1" selectUnlockedCells="1"/>
  <mergeCells count="22">
    <mergeCell ref="B2:E2"/>
    <mergeCell ref="D3:E3"/>
    <mergeCell ref="B3:C3"/>
    <mergeCell ref="B6:E7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N18:N21 N13:N16">
    <cfRule type="expression" dxfId="47" priority="9" stopIfTrue="1">
      <formula>O13=""</formula>
    </cfRule>
  </conditionalFormatting>
  <conditionalFormatting sqref="N17 N12 N22">
    <cfRule type="expression" dxfId="46" priority="10" stopIfTrue="1">
      <formula>O12=""</formula>
    </cfRule>
  </conditionalFormatting>
  <conditionalFormatting sqref="R43:S43">
    <cfRule type="expression" dxfId="45" priority="12" stopIfTrue="1">
      <formula>R43&lt;$R43</formula>
    </cfRule>
    <cfRule type="expression" dxfId="44" priority="13" stopIfTrue="1">
      <formula>R43&gt;$R43</formula>
    </cfRule>
  </conditionalFormatting>
  <conditionalFormatting sqref="R31:R42">
    <cfRule type="expression" dxfId="43" priority="3" stopIfTrue="1">
      <formula>R31&lt;$R31</formula>
    </cfRule>
    <cfRule type="expression" dxfId="42" priority="4" stopIfTrue="1">
      <formula>R31&gt;$R31</formula>
    </cfRule>
  </conditionalFormatting>
  <conditionalFormatting sqref="S31:S42">
    <cfRule type="expression" dxfId="41" priority="1" stopIfTrue="1">
      <formula>S31&lt;$R31</formula>
    </cfRule>
    <cfRule type="expression" dxfId="40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0"/>
  <sheetViews>
    <sheetView showGridLines="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83" t="s">
        <v>18</v>
      </c>
      <c r="B2" s="145" t="s">
        <v>32</v>
      </c>
      <c r="C2" s="145"/>
      <c r="D2" s="145"/>
      <c r="E2" s="145"/>
      <c r="Q2" s="79"/>
    </row>
    <row r="3" spans="1:17" ht="13.5" customHeight="1" x14ac:dyDescent="0.2">
      <c r="A3" s="1"/>
      <c r="B3" s="126" t="s">
        <v>20</v>
      </c>
      <c r="C3" s="126"/>
      <c r="D3" s="147" t="s">
        <v>19</v>
      </c>
      <c r="E3" s="147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17" t="s">
        <v>30</v>
      </c>
      <c r="C6" s="118"/>
      <c r="D6" s="118"/>
      <c r="E6" s="118"/>
      <c r="F6" s="9"/>
    </row>
    <row r="7" spans="1:17" ht="11.25" customHeight="1" thickBot="1" x14ac:dyDescent="0.25">
      <c r="B7" s="119"/>
      <c r="C7" s="119"/>
      <c r="D7" s="119"/>
      <c r="E7" s="119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f>'BON-NS'!B9</f>
        <v>2016</v>
      </c>
      <c r="C9" s="46">
        <f>'BON-NS'!C9</f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92">
        <v>8229</v>
      </c>
      <c r="C11" s="42">
        <v>9391</v>
      </c>
      <c r="D11" s="21">
        <f>IF(OR(C11="",B11=0),"",C11-B11)</f>
        <v>1162</v>
      </c>
      <c r="E11" s="60">
        <f t="shared" ref="E11:E23" si="0">IF(D11="","",D11/B11)</f>
        <v>0.14120792319844452</v>
      </c>
      <c r="F11" s="92">
        <v>4733</v>
      </c>
      <c r="G11" s="42">
        <v>5189</v>
      </c>
      <c r="H11" s="21">
        <f>IF(OR(G11="",F11=0),"",G11-F11)</f>
        <v>456</v>
      </c>
      <c r="I11" s="60">
        <f t="shared" ref="I11:I23" si="1">IF(H11="","",H11/F11)</f>
        <v>9.6344813015001057E-2</v>
      </c>
      <c r="J11" s="92">
        <v>874</v>
      </c>
      <c r="K11" s="42">
        <v>1671</v>
      </c>
      <c r="L11" s="21">
        <f>IF(OR(K11="",J11=0),"",K11-J11)</f>
        <v>797</v>
      </c>
      <c r="M11" s="58">
        <f t="shared" ref="M11:M23" si="2">IF(L11="","",L11/J11)</f>
        <v>0.91189931350114417</v>
      </c>
      <c r="N11" s="33">
        <f t="shared" ref="N11:N22" si="3">SUM(B11,F11,J11)</f>
        <v>13836</v>
      </c>
      <c r="O11" s="30">
        <f t="shared" ref="O11:O22" si="4">IF(C11="","",SUM(C11,G11,K11))</f>
        <v>16251</v>
      </c>
      <c r="P11" s="21">
        <f>IF(OR(O11="",N11=0),"",O11-N11)</f>
        <v>2415</v>
      </c>
      <c r="Q11" s="58">
        <f t="shared" ref="Q11:Q23" si="5">IF(P11="","",P11/N11)</f>
        <v>0.17454466608846486</v>
      </c>
    </row>
    <row r="12" spans="1:17" ht="11.25" customHeight="1" x14ac:dyDescent="0.2">
      <c r="A12" s="20" t="s">
        <v>7</v>
      </c>
      <c r="B12" s="92">
        <v>10484</v>
      </c>
      <c r="C12" s="42">
        <v>9778</v>
      </c>
      <c r="D12" s="21">
        <f t="shared" ref="D12:D22" si="6">IF(OR(C12="",B12=0),"",C12-B12)</f>
        <v>-706</v>
      </c>
      <c r="E12" s="60">
        <f t="shared" si="0"/>
        <v>-6.7340709652804268E-2</v>
      </c>
      <c r="F12" s="92">
        <v>5075</v>
      </c>
      <c r="G12" s="42">
        <v>5842</v>
      </c>
      <c r="H12" s="21">
        <f t="shared" ref="H12:H22" si="7">IF(OR(G12="",F12=0),"",G12-F12)</f>
        <v>767</v>
      </c>
      <c r="I12" s="60">
        <f t="shared" si="1"/>
        <v>0.15113300492610837</v>
      </c>
      <c r="J12" s="92">
        <v>1457</v>
      </c>
      <c r="K12" s="42">
        <v>935</v>
      </c>
      <c r="L12" s="21">
        <f t="shared" ref="L12:L22" si="8">IF(OR(K12="",J12=0),"",K12-J12)</f>
        <v>-522</v>
      </c>
      <c r="M12" s="58">
        <f t="shared" si="2"/>
        <v>-0.3582704186684969</v>
      </c>
      <c r="N12" s="33">
        <f t="shared" si="3"/>
        <v>17016</v>
      </c>
      <c r="O12" s="30">
        <f t="shared" si="4"/>
        <v>16555</v>
      </c>
      <c r="P12" s="21">
        <f t="shared" ref="P12:P22" si="9">IF(OR(O12="",N12=0),"",O12-N12)</f>
        <v>-461</v>
      </c>
      <c r="Q12" s="58">
        <f t="shared" si="5"/>
        <v>-2.7092148566055477E-2</v>
      </c>
    </row>
    <row r="13" spans="1:17" ht="11.25" customHeight="1" x14ac:dyDescent="0.2">
      <c r="A13" s="87" t="s">
        <v>8</v>
      </c>
      <c r="B13" s="93">
        <v>10925</v>
      </c>
      <c r="C13" s="43">
        <v>12353</v>
      </c>
      <c r="D13" s="22">
        <f t="shared" si="6"/>
        <v>1428</v>
      </c>
      <c r="E13" s="61">
        <f t="shared" si="0"/>
        <v>0.13070938215102976</v>
      </c>
      <c r="F13" s="93">
        <v>5331</v>
      </c>
      <c r="G13" s="43">
        <v>6806</v>
      </c>
      <c r="H13" s="22">
        <f t="shared" si="7"/>
        <v>1475</v>
      </c>
      <c r="I13" s="61">
        <f t="shared" si="1"/>
        <v>0.27668354905271059</v>
      </c>
      <c r="J13" s="93">
        <v>1549</v>
      </c>
      <c r="K13" s="43">
        <v>1437</v>
      </c>
      <c r="L13" s="22">
        <f t="shared" si="8"/>
        <v>-112</v>
      </c>
      <c r="M13" s="59">
        <f t="shared" si="2"/>
        <v>-7.2304712717882511E-2</v>
      </c>
      <c r="N13" s="35">
        <f t="shared" si="3"/>
        <v>17805</v>
      </c>
      <c r="O13" s="31">
        <f t="shared" si="4"/>
        <v>20596</v>
      </c>
      <c r="P13" s="22">
        <f t="shared" si="9"/>
        <v>2791</v>
      </c>
      <c r="Q13" s="59">
        <f t="shared" si="5"/>
        <v>0.15675372086492559</v>
      </c>
    </row>
    <row r="14" spans="1:17" ht="11.25" customHeight="1" x14ac:dyDescent="0.2">
      <c r="A14" s="20" t="s">
        <v>9</v>
      </c>
      <c r="B14" s="92">
        <v>11541</v>
      </c>
      <c r="C14" s="42">
        <v>10039</v>
      </c>
      <c r="D14" s="21">
        <f t="shared" si="6"/>
        <v>-1502</v>
      </c>
      <c r="E14" s="60">
        <f t="shared" si="0"/>
        <v>-0.13014470149900356</v>
      </c>
      <c r="F14" s="92">
        <v>6121</v>
      </c>
      <c r="G14" s="42">
        <v>5208</v>
      </c>
      <c r="H14" s="21">
        <f t="shared" si="7"/>
        <v>-913</v>
      </c>
      <c r="I14" s="60">
        <f t="shared" si="1"/>
        <v>-0.1491586342100964</v>
      </c>
      <c r="J14" s="92">
        <v>631</v>
      </c>
      <c r="K14" s="42">
        <v>1038</v>
      </c>
      <c r="L14" s="21">
        <f t="shared" si="8"/>
        <v>407</v>
      </c>
      <c r="M14" s="58">
        <f t="shared" si="2"/>
        <v>0.6450079239302694</v>
      </c>
      <c r="N14" s="33">
        <f t="shared" si="3"/>
        <v>18293</v>
      </c>
      <c r="O14" s="30">
        <f t="shared" si="4"/>
        <v>16285</v>
      </c>
      <c r="P14" s="21">
        <f t="shared" si="9"/>
        <v>-2008</v>
      </c>
      <c r="Q14" s="58">
        <f t="shared" si="5"/>
        <v>-0.10976876400809053</v>
      </c>
    </row>
    <row r="15" spans="1:17" ht="11.25" customHeight="1" x14ac:dyDescent="0.2">
      <c r="A15" s="20" t="s">
        <v>10</v>
      </c>
      <c r="B15" s="92">
        <v>10170</v>
      </c>
      <c r="C15" s="42">
        <v>11817</v>
      </c>
      <c r="D15" s="21">
        <f t="shared" si="6"/>
        <v>1647</v>
      </c>
      <c r="E15" s="60">
        <f t="shared" si="0"/>
        <v>0.16194690265486725</v>
      </c>
      <c r="F15" s="92">
        <v>5409</v>
      </c>
      <c r="G15" s="42">
        <v>6213</v>
      </c>
      <c r="H15" s="21">
        <f t="shared" si="7"/>
        <v>804</v>
      </c>
      <c r="I15" s="60">
        <f t="shared" si="1"/>
        <v>0.14864115363283417</v>
      </c>
      <c r="J15" s="92">
        <v>753</v>
      </c>
      <c r="K15" s="42">
        <v>657</v>
      </c>
      <c r="L15" s="21">
        <f t="shared" si="8"/>
        <v>-96</v>
      </c>
      <c r="M15" s="58">
        <f t="shared" si="2"/>
        <v>-0.12749003984063745</v>
      </c>
      <c r="N15" s="33">
        <f t="shared" si="3"/>
        <v>16332</v>
      </c>
      <c r="O15" s="30">
        <f t="shared" si="4"/>
        <v>18687</v>
      </c>
      <c r="P15" s="21">
        <f t="shared" si="9"/>
        <v>2355</v>
      </c>
      <c r="Q15" s="58">
        <f t="shared" si="5"/>
        <v>0.14419544452608377</v>
      </c>
    </row>
    <row r="16" spans="1:17" ht="11.25" customHeight="1" x14ac:dyDescent="0.2">
      <c r="A16" s="87" t="s">
        <v>11</v>
      </c>
      <c r="B16" s="93">
        <v>11771</v>
      </c>
      <c r="C16" s="43">
        <v>11026</v>
      </c>
      <c r="D16" s="22">
        <f t="shared" si="6"/>
        <v>-745</v>
      </c>
      <c r="E16" s="61">
        <f t="shared" si="0"/>
        <v>-6.3291139240506333E-2</v>
      </c>
      <c r="F16" s="93">
        <v>5553</v>
      </c>
      <c r="G16" s="43">
        <v>5891</v>
      </c>
      <c r="H16" s="22">
        <f t="shared" si="7"/>
        <v>338</v>
      </c>
      <c r="I16" s="61">
        <f t="shared" si="1"/>
        <v>6.0867999279668648E-2</v>
      </c>
      <c r="J16" s="93">
        <v>1391</v>
      </c>
      <c r="K16" s="43">
        <v>452</v>
      </c>
      <c r="L16" s="22">
        <f t="shared" si="8"/>
        <v>-939</v>
      </c>
      <c r="M16" s="59">
        <f t="shared" si="2"/>
        <v>-0.67505391804457227</v>
      </c>
      <c r="N16" s="35">
        <f t="shared" si="3"/>
        <v>18715</v>
      </c>
      <c r="O16" s="31">
        <f t="shared" si="4"/>
        <v>17369</v>
      </c>
      <c r="P16" s="22">
        <f t="shared" si="9"/>
        <v>-1346</v>
      </c>
      <c r="Q16" s="59">
        <f t="shared" si="5"/>
        <v>-7.1920919048891266E-2</v>
      </c>
    </row>
    <row r="17" spans="1:21" ht="11.25" customHeight="1" x14ac:dyDescent="0.2">
      <c r="A17" s="20" t="s">
        <v>12</v>
      </c>
      <c r="B17" s="92">
        <v>10461</v>
      </c>
      <c r="C17" s="42">
        <v>10874</v>
      </c>
      <c r="D17" s="21">
        <f t="shared" si="6"/>
        <v>413</v>
      </c>
      <c r="E17" s="60">
        <f t="shared" si="0"/>
        <v>3.947997323391645E-2</v>
      </c>
      <c r="F17" s="92">
        <v>5132</v>
      </c>
      <c r="G17" s="42">
        <v>6212</v>
      </c>
      <c r="H17" s="21">
        <f t="shared" si="7"/>
        <v>1080</v>
      </c>
      <c r="I17" s="60">
        <f t="shared" si="1"/>
        <v>0.21044427123928294</v>
      </c>
      <c r="J17" s="92">
        <v>1215</v>
      </c>
      <c r="K17" s="42">
        <v>622</v>
      </c>
      <c r="L17" s="21">
        <f t="shared" si="8"/>
        <v>-593</v>
      </c>
      <c r="M17" s="58">
        <f t="shared" si="2"/>
        <v>-0.48806584362139915</v>
      </c>
      <c r="N17" s="33">
        <f t="shared" si="3"/>
        <v>16808</v>
      </c>
      <c r="O17" s="30">
        <f t="shared" si="4"/>
        <v>17708</v>
      </c>
      <c r="P17" s="21">
        <f t="shared" si="9"/>
        <v>900</v>
      </c>
      <c r="Q17" s="58">
        <f t="shared" si="5"/>
        <v>5.3545930509281296E-2</v>
      </c>
    </row>
    <row r="18" spans="1:21" ht="11.25" customHeight="1" x14ac:dyDescent="0.2">
      <c r="A18" s="20" t="s">
        <v>13</v>
      </c>
      <c r="B18" s="92">
        <v>10214</v>
      </c>
      <c r="C18" s="42">
        <v>10202</v>
      </c>
      <c r="D18" s="21">
        <f t="shared" si="6"/>
        <v>-12</v>
      </c>
      <c r="E18" s="60">
        <f t="shared" si="0"/>
        <v>-1.1748580379870766E-3</v>
      </c>
      <c r="F18" s="92">
        <v>5432</v>
      </c>
      <c r="G18" s="42">
        <v>6080</v>
      </c>
      <c r="H18" s="21">
        <f t="shared" si="7"/>
        <v>648</v>
      </c>
      <c r="I18" s="60">
        <f t="shared" si="1"/>
        <v>0.11929307805596466</v>
      </c>
      <c r="J18" s="92">
        <v>762</v>
      </c>
      <c r="K18" s="42">
        <v>958</v>
      </c>
      <c r="L18" s="21">
        <f t="shared" si="8"/>
        <v>196</v>
      </c>
      <c r="M18" s="58">
        <f t="shared" si="2"/>
        <v>0.2572178477690289</v>
      </c>
      <c r="N18" s="33">
        <f t="shared" si="3"/>
        <v>16408</v>
      </c>
      <c r="O18" s="30">
        <f t="shared" si="4"/>
        <v>17240</v>
      </c>
      <c r="P18" s="21">
        <f t="shared" si="9"/>
        <v>832</v>
      </c>
      <c r="Q18" s="58">
        <f t="shared" si="5"/>
        <v>5.0706972208678695E-2</v>
      </c>
    </row>
    <row r="19" spans="1:21" ht="11.25" customHeight="1" x14ac:dyDescent="0.2">
      <c r="A19" s="87" t="s">
        <v>14</v>
      </c>
      <c r="B19" s="93">
        <v>10992</v>
      </c>
      <c r="C19" s="43">
        <v>11611</v>
      </c>
      <c r="D19" s="22">
        <f t="shared" si="6"/>
        <v>619</v>
      </c>
      <c r="E19" s="61">
        <f t="shared" si="0"/>
        <v>5.6313682678311501E-2</v>
      </c>
      <c r="F19" s="93">
        <v>5666</v>
      </c>
      <c r="G19" s="43">
        <v>7211</v>
      </c>
      <c r="H19" s="22">
        <f t="shared" si="7"/>
        <v>1545</v>
      </c>
      <c r="I19" s="61">
        <f t="shared" si="1"/>
        <v>0.27267913872220262</v>
      </c>
      <c r="J19" s="93">
        <v>1403</v>
      </c>
      <c r="K19" s="43">
        <v>373</v>
      </c>
      <c r="L19" s="22">
        <f t="shared" si="8"/>
        <v>-1030</v>
      </c>
      <c r="M19" s="59">
        <f t="shared" si="2"/>
        <v>-0.73414112615823235</v>
      </c>
      <c r="N19" s="35">
        <f t="shared" si="3"/>
        <v>18061</v>
      </c>
      <c r="O19" s="31">
        <f t="shared" si="4"/>
        <v>19195</v>
      </c>
      <c r="P19" s="22">
        <f t="shared" si="9"/>
        <v>1134</v>
      </c>
      <c r="Q19" s="59">
        <f t="shared" si="5"/>
        <v>6.2787221084103867E-2</v>
      </c>
    </row>
    <row r="20" spans="1:21" ht="11.25" customHeight="1" x14ac:dyDescent="0.2">
      <c r="A20" s="20" t="s">
        <v>15</v>
      </c>
      <c r="B20" s="92">
        <v>10331</v>
      </c>
      <c r="C20" s="42"/>
      <c r="D20" s="21" t="str">
        <f t="shared" si="6"/>
        <v/>
      </c>
      <c r="E20" s="60" t="str">
        <f t="shared" si="0"/>
        <v/>
      </c>
      <c r="F20" s="92">
        <v>5455</v>
      </c>
      <c r="G20" s="42"/>
      <c r="H20" s="21" t="str">
        <f t="shared" si="7"/>
        <v/>
      </c>
      <c r="I20" s="60" t="str">
        <f t="shared" si="1"/>
        <v/>
      </c>
      <c r="J20" s="92">
        <v>1441</v>
      </c>
      <c r="K20" s="42"/>
      <c r="L20" s="21" t="str">
        <f t="shared" si="8"/>
        <v/>
      </c>
      <c r="M20" s="58" t="str">
        <f t="shared" si="2"/>
        <v/>
      </c>
      <c r="N20" s="33">
        <f t="shared" si="3"/>
        <v>17227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21" ht="11.25" customHeight="1" x14ac:dyDescent="0.2">
      <c r="A21" s="20" t="s">
        <v>16</v>
      </c>
      <c r="B21" s="92">
        <v>10978</v>
      </c>
      <c r="C21" s="42"/>
      <c r="D21" s="21" t="str">
        <f t="shared" si="6"/>
        <v/>
      </c>
      <c r="E21" s="60" t="str">
        <f t="shared" si="0"/>
        <v/>
      </c>
      <c r="F21" s="92">
        <v>5897</v>
      </c>
      <c r="G21" s="42"/>
      <c r="H21" s="21" t="str">
        <f t="shared" si="7"/>
        <v/>
      </c>
      <c r="I21" s="60" t="str">
        <f t="shared" si="1"/>
        <v/>
      </c>
      <c r="J21" s="92">
        <v>1530</v>
      </c>
      <c r="K21" s="42"/>
      <c r="L21" s="21" t="str">
        <f t="shared" si="8"/>
        <v/>
      </c>
      <c r="M21" s="58" t="str">
        <f t="shared" si="2"/>
        <v/>
      </c>
      <c r="N21" s="33">
        <f t="shared" si="3"/>
        <v>18405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21" ht="11.25" customHeight="1" thickBot="1" x14ac:dyDescent="0.25">
      <c r="A22" s="23" t="s">
        <v>17</v>
      </c>
      <c r="B22" s="94">
        <v>9077</v>
      </c>
      <c r="C22" s="44"/>
      <c r="D22" s="21" t="str">
        <f t="shared" si="6"/>
        <v/>
      </c>
      <c r="E22" s="88" t="str">
        <f t="shared" si="0"/>
        <v/>
      </c>
      <c r="F22" s="94">
        <v>5011</v>
      </c>
      <c r="G22" s="44"/>
      <c r="H22" s="21" t="str">
        <f t="shared" si="7"/>
        <v/>
      </c>
      <c r="I22" s="88" t="str">
        <f t="shared" si="1"/>
        <v/>
      </c>
      <c r="J22" s="94">
        <v>1125</v>
      </c>
      <c r="K22" s="44"/>
      <c r="L22" s="21" t="str">
        <f t="shared" si="8"/>
        <v/>
      </c>
      <c r="M22" s="52" t="str">
        <f t="shared" si="2"/>
        <v/>
      </c>
      <c r="N22" s="34">
        <f t="shared" si="3"/>
        <v>15213</v>
      </c>
      <c r="O22" s="32" t="str">
        <f t="shared" si="4"/>
        <v/>
      </c>
      <c r="P22" s="21" t="str">
        <f t="shared" si="9"/>
        <v/>
      </c>
      <c r="Q22" s="52" t="str">
        <f t="shared" si="5"/>
        <v/>
      </c>
    </row>
    <row r="23" spans="1:21" ht="11.25" customHeight="1" thickBot="1" x14ac:dyDescent="0.25">
      <c r="A23" s="39" t="s">
        <v>3</v>
      </c>
      <c r="B23" s="36">
        <f>IF(C17="",B24,B25)</f>
        <v>94787</v>
      </c>
      <c r="C23" s="37">
        <f>IF(C11="","",SUM(C11:C22))</f>
        <v>97091</v>
      </c>
      <c r="D23" s="38">
        <f>IF(C11="","",SUM(D11:D22))</f>
        <v>2304</v>
      </c>
      <c r="E23" s="53">
        <f t="shared" si="0"/>
        <v>2.4307130724677436E-2</v>
      </c>
      <c r="F23" s="36">
        <f>IF(G17="",F24,F25)</f>
        <v>48452</v>
      </c>
      <c r="G23" s="37">
        <f>IF(G11="","",SUM(G11:G22))</f>
        <v>54652</v>
      </c>
      <c r="H23" s="38">
        <f>IF(G11="","",SUM(H11:H22))</f>
        <v>6200</v>
      </c>
      <c r="I23" s="53">
        <f t="shared" si="1"/>
        <v>0.12796169404771732</v>
      </c>
      <c r="J23" s="36">
        <f>IF(K17="",J24,J25)</f>
        <v>10035</v>
      </c>
      <c r="K23" s="37">
        <f>IF(K11="","",SUM(K11:K22))</f>
        <v>8143</v>
      </c>
      <c r="L23" s="38">
        <f>IF(K11="","",SUM(L11:L22))</f>
        <v>-1892</v>
      </c>
      <c r="M23" s="53">
        <f t="shared" si="2"/>
        <v>-0.18854010961634279</v>
      </c>
      <c r="N23" s="36">
        <f>IF(O17="",N24,N25)</f>
        <v>153274</v>
      </c>
      <c r="O23" s="37">
        <f>IF(O11="","",SUM(O11:O22))</f>
        <v>159886</v>
      </c>
      <c r="P23" s="38">
        <f>IF(O11="","",SUM(P11:P22))</f>
        <v>6612</v>
      </c>
      <c r="Q23" s="53">
        <f t="shared" si="5"/>
        <v>4.3138431827968213E-2</v>
      </c>
    </row>
    <row r="24" spans="1:21" ht="11.25" customHeight="1" x14ac:dyDescent="0.2">
      <c r="A24" s="102" t="s">
        <v>28</v>
      </c>
      <c r="B24" s="103">
        <f>IF(C16&lt;&gt;"",SUM(B11:B16),IF(C15&lt;&gt;"",SUM(B11:B15),IF(C14&lt;&gt;"",SUM(B11:B14),IF(C13&lt;&gt;"",SUM(B11:B13),IF(C12&lt;&gt;"",SUM(B11:B12),B11)))))</f>
        <v>63120</v>
      </c>
      <c r="C24" s="103">
        <f>COUNTIF(C11:C22,"&gt;0")</f>
        <v>9</v>
      </c>
      <c r="D24" s="103"/>
      <c r="E24" s="104"/>
      <c r="F24" s="103">
        <f>IF(G16&lt;&gt;"",SUM(F11:F16),IF(G15&lt;&gt;"",SUM(F11:F15),IF(G14&lt;&gt;"",SUM(F11:F14),IF(G13&lt;&gt;"",SUM(F11:F13),IF(G12&lt;&gt;"",SUM(F11:F12),F11)))))</f>
        <v>32222</v>
      </c>
      <c r="G24" s="103">
        <f>COUNTIF(G11:G22,"&gt;0")</f>
        <v>9</v>
      </c>
      <c r="H24" s="103"/>
      <c r="I24" s="104"/>
      <c r="J24" s="103">
        <f>IF(K16&lt;&gt;"",SUM(J11:J16),IF(K15&lt;&gt;"",SUM(J11:J15),IF(K14&lt;&gt;"",SUM(J11:J14),IF(K13&lt;&gt;"",SUM(J11:J13),IF(K12&lt;&gt;"",SUM(J11:J12),J11)))))</f>
        <v>6655</v>
      </c>
      <c r="K24" s="103">
        <f>COUNTIF(K11:K22,"&gt;0")</f>
        <v>9</v>
      </c>
      <c r="L24" s="103"/>
      <c r="M24" s="104"/>
      <c r="N24" s="103">
        <f>IF(O16&lt;&gt;"",SUM(N11:N16),IF(O15&lt;&gt;"",SUM(N11:N15),IF(O14&lt;&gt;"",SUM(N11:N14),IF(O13&lt;&gt;"",SUM(N11:N13),IF(O12&lt;&gt;"",SUM(N11:N12),N11)))))</f>
        <v>101997</v>
      </c>
      <c r="O24" s="103">
        <f>COUNTIF(O11:O22,"&gt;0")</f>
        <v>9</v>
      </c>
      <c r="P24" s="103"/>
      <c r="Q24" s="104"/>
      <c r="R24" s="105"/>
      <c r="S24" s="105"/>
    </row>
    <row r="25" spans="1:21" ht="11.25" customHeight="1" x14ac:dyDescent="0.2">
      <c r="B25" s="76">
        <f>IF(C22&lt;&gt;"",SUM(B11:B22),IF(C21&lt;&gt;"",SUM(B11:B21),IF(C20&lt;&gt;"",SUM(B11:B20),IF(C19&lt;&gt;"",SUM(B11:B19),IF(C18&lt;&gt;"",SUM(B11:B18),SUM(B11:B17))))))</f>
        <v>94787</v>
      </c>
      <c r="F25" s="76">
        <f>IF(G22&lt;&gt;"",SUM(F11:F22),IF(G21&lt;&gt;"",SUM(F11:F21),IF(G20&lt;&gt;"",SUM(F11:F20),IF(G19&lt;&gt;"",SUM(F11:F19),IF(G18&lt;&gt;"",SUM(F11:F18),SUM(F11:F17))))))</f>
        <v>48452</v>
      </c>
      <c r="J25" s="76">
        <f>IF(K22&lt;&gt;"",SUM(J11:J22),IF(K21&lt;&gt;"",SUM(J11:J21),IF(K20&lt;&gt;"",SUM(J11:J20),IF(K19&lt;&gt;"",SUM(J11:J19),IF(K18&lt;&gt;"",SUM(J11:J18),SUM(J11:J17))))))</f>
        <v>10035</v>
      </c>
      <c r="N25" s="76">
        <f>IF(O22&lt;&gt;"",SUM(N11:N22),IF(O21&lt;&gt;"",SUM(N11:N21),IF(O20&lt;&gt;"",SUM(N11:N20),IF(O19&lt;&gt;"",SUM(N11:N19),IF(O18&lt;&gt;"",SUM(N11:N18),SUM(N11:N17))))))</f>
        <v>153274</v>
      </c>
    </row>
    <row r="26" spans="1:21" ht="11.25" customHeight="1" x14ac:dyDescent="0.2">
      <c r="A26" s="7"/>
      <c r="B26" s="117" t="s">
        <v>22</v>
      </c>
      <c r="C26" s="118"/>
      <c r="D26" s="118"/>
      <c r="E26" s="118"/>
      <c r="F26" s="9"/>
    </row>
    <row r="27" spans="1:21" ht="11.25" customHeight="1" thickBot="1" x14ac:dyDescent="0.25">
      <c r="B27" s="119"/>
      <c r="C27" s="119"/>
      <c r="D27" s="119"/>
      <c r="E27" s="119"/>
    </row>
    <row r="28" spans="1:21" ht="11.25" customHeight="1" thickBot="1" x14ac:dyDescent="0.25">
      <c r="A28" s="25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</row>
    <row r="30" spans="1:21" ht="11.25" customHeight="1" thickBot="1" x14ac:dyDescent="0.25">
      <c r="A30" s="74" t="s">
        <v>24</v>
      </c>
      <c r="B30" s="11">
        <f>T43</f>
        <v>189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1" t="s">
        <v>23</v>
      </c>
      <c r="S30" s="142"/>
    </row>
    <row r="31" spans="1:21" ht="11.25" customHeight="1" x14ac:dyDescent="0.2">
      <c r="A31" s="20" t="s">
        <v>6</v>
      </c>
      <c r="B31" s="65">
        <f t="shared" ref="B31:B42" si="10">IF(C11="","",B11/$R31)</f>
        <v>391.85714285714283</v>
      </c>
      <c r="C31" s="68">
        <f t="shared" ref="C31:C42" si="11">IF(C11="","",C11/$S31)</f>
        <v>426.86363636363637</v>
      </c>
      <c r="D31" s="64">
        <f>IF(OR(C31="",B31=0),"",C31-B31)</f>
        <v>35.006493506493541</v>
      </c>
      <c r="E31" s="60">
        <f>IF(D31="","",(C31-B31)/ABS(B31))</f>
        <v>8.9334835780333507E-2</v>
      </c>
      <c r="F31" s="65">
        <f t="shared" ref="F31:F42" si="12">IF(G11="","",F11/$R31)</f>
        <v>225.38095238095238</v>
      </c>
      <c r="G31" s="68">
        <f t="shared" ref="G31:G42" si="13">IF(G11="","",G11/$S31)</f>
        <v>235.86363636363637</v>
      </c>
      <c r="H31" s="64">
        <f>IF(OR(G31="",F31=0),"",G31-F31)</f>
        <v>10.482683982683994</v>
      </c>
      <c r="I31" s="60">
        <f>IF(H31="","",(G31-F31)/ABS(F31))</f>
        <v>4.6510957877955603E-2</v>
      </c>
      <c r="J31" s="65">
        <f t="shared" ref="J31:J42" si="14">IF(K11="","",J11/$R31)</f>
        <v>41.61904761904762</v>
      </c>
      <c r="K31" s="68">
        <f t="shared" ref="K31:K42" si="15">IF(K11="","",K11/$S31)</f>
        <v>75.954545454545453</v>
      </c>
      <c r="L31" s="64">
        <f>IF(OR(K31="",J31=0),"",K31-J31)</f>
        <v>34.335497835497833</v>
      </c>
      <c r="M31" s="60">
        <f>IF(L31="","",(K31-J31)/ABS(J31))</f>
        <v>0.82499479925109209</v>
      </c>
      <c r="N31" s="65">
        <f t="shared" ref="N31:N42" si="16">IF(O11="","",N11/$R31)</f>
        <v>658.85714285714289</v>
      </c>
      <c r="O31" s="68">
        <f t="shared" ref="O31:O42" si="17">IF(O11="","",O11/$S31)</f>
        <v>738.68181818181813</v>
      </c>
      <c r="P31" s="64">
        <f>IF(OR(O31="",N31=0),"",O31-N31)</f>
        <v>79.824675324675241</v>
      </c>
      <c r="Q31" s="60">
        <f>IF(P31="","",(O31-N31)/ABS(N31))</f>
        <v>0.1211562721753527</v>
      </c>
      <c r="R31" s="99">
        <v>21</v>
      </c>
      <c r="S31" s="56">
        <v>22</v>
      </c>
      <c r="T31" s="77">
        <f>IF(OR(N31="",N31=0),"",R31)</f>
        <v>21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si="10"/>
        <v>524.20000000000005</v>
      </c>
      <c r="C32" s="68">
        <f t="shared" si="11"/>
        <v>488.9</v>
      </c>
      <c r="D32" s="64">
        <f t="shared" ref="D32:D42" si="18">IF(OR(C32="",B32=0),"",C32-B32)</f>
        <v>-35.300000000000068</v>
      </c>
      <c r="E32" s="60">
        <f t="shared" ref="E32:E42" si="19">IF(D32="","",(C32-B32)/ABS(B32))</f>
        <v>-6.7340709652804392E-2</v>
      </c>
      <c r="F32" s="65">
        <f t="shared" si="12"/>
        <v>253.75</v>
      </c>
      <c r="G32" s="68">
        <f t="shared" si="13"/>
        <v>292.10000000000002</v>
      </c>
      <c r="H32" s="64">
        <f t="shared" ref="H32:H42" si="20">IF(OR(G32="",F32=0),"",G32-F32)</f>
        <v>38.350000000000023</v>
      </c>
      <c r="I32" s="60">
        <f t="shared" ref="I32:I42" si="21">IF(H32="","",(G32-F32)/ABS(F32))</f>
        <v>0.15113300492610846</v>
      </c>
      <c r="J32" s="65">
        <f t="shared" si="14"/>
        <v>72.849999999999994</v>
      </c>
      <c r="K32" s="68">
        <f t="shared" si="15"/>
        <v>46.75</v>
      </c>
      <c r="L32" s="64">
        <f t="shared" ref="L32:L42" si="22">IF(OR(K32="",J32=0),"",K32-J32)</f>
        <v>-26.099999999999994</v>
      </c>
      <c r="M32" s="60">
        <f t="shared" ref="M32:M42" si="23">IF(L32="","",(K32-J32)/ABS(J32))</f>
        <v>-0.35827041866849685</v>
      </c>
      <c r="N32" s="65">
        <f t="shared" si="16"/>
        <v>850.8</v>
      </c>
      <c r="O32" s="68">
        <f t="shared" si="17"/>
        <v>827.75</v>
      </c>
      <c r="P32" s="64">
        <f t="shared" ref="P32:P42" si="24">IF(OR(O32="",N32=0),"",O32-N32)</f>
        <v>-23.049999999999955</v>
      </c>
      <c r="Q32" s="60">
        <f t="shared" ref="Q32:Q42" si="25">IF(P32="","",(O32-N32)/ABS(N32))</f>
        <v>-2.7092148566055425E-2</v>
      </c>
      <c r="R32" s="100">
        <v>20</v>
      </c>
      <c r="S32" s="56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41" t="s">
        <v>8</v>
      </c>
      <c r="B33" s="66">
        <f t="shared" si="10"/>
        <v>496.59090909090907</v>
      </c>
      <c r="C33" s="69">
        <f t="shared" si="11"/>
        <v>537.08695652173913</v>
      </c>
      <c r="D33" s="71">
        <f t="shared" si="18"/>
        <v>40.49604743083006</v>
      </c>
      <c r="E33" s="61">
        <f t="shared" si="19"/>
        <v>8.1548104666202409E-2</v>
      </c>
      <c r="F33" s="66">
        <f t="shared" si="12"/>
        <v>242.31818181818181</v>
      </c>
      <c r="G33" s="69">
        <f t="shared" si="13"/>
        <v>295.91304347826087</v>
      </c>
      <c r="H33" s="71">
        <f t="shared" si="20"/>
        <v>53.594861660079061</v>
      </c>
      <c r="I33" s="61">
        <f t="shared" si="21"/>
        <v>0.2211755686591145</v>
      </c>
      <c r="J33" s="66">
        <f t="shared" si="14"/>
        <v>70.409090909090907</v>
      </c>
      <c r="K33" s="69">
        <f t="shared" si="15"/>
        <v>62.478260869565219</v>
      </c>
      <c r="L33" s="71">
        <f t="shared" si="22"/>
        <v>-7.9308300395256879</v>
      </c>
      <c r="M33" s="61">
        <f t="shared" si="23"/>
        <v>-0.11263929042580061</v>
      </c>
      <c r="N33" s="66">
        <f t="shared" si="16"/>
        <v>809.31818181818187</v>
      </c>
      <c r="O33" s="69">
        <f t="shared" si="17"/>
        <v>895.47826086956525</v>
      </c>
      <c r="P33" s="71">
        <f t="shared" si="24"/>
        <v>86.160079051383377</v>
      </c>
      <c r="Q33" s="61">
        <f t="shared" si="25"/>
        <v>0.10646008082732009</v>
      </c>
      <c r="R33" s="85">
        <v>22</v>
      </c>
      <c r="S33" s="85">
        <v>23</v>
      </c>
      <c r="T33" s="77">
        <f t="shared" si="26"/>
        <v>22</v>
      </c>
      <c r="U33" s="77">
        <f t="shared" si="26"/>
        <v>23</v>
      </c>
    </row>
    <row r="34" spans="1:21" ht="11.25" customHeight="1" x14ac:dyDescent="0.2">
      <c r="A34" s="20" t="s">
        <v>9</v>
      </c>
      <c r="B34" s="65">
        <f t="shared" si="10"/>
        <v>577.04999999999995</v>
      </c>
      <c r="C34" s="68">
        <f t="shared" si="11"/>
        <v>557.72222222222217</v>
      </c>
      <c r="D34" s="64">
        <f t="shared" si="18"/>
        <v>-19.327777777777783</v>
      </c>
      <c r="E34" s="60">
        <f t="shared" si="19"/>
        <v>-3.3494112776670623E-2</v>
      </c>
      <c r="F34" s="65">
        <f t="shared" si="12"/>
        <v>306.05</v>
      </c>
      <c r="G34" s="68">
        <f t="shared" si="13"/>
        <v>289.33333333333331</v>
      </c>
      <c r="H34" s="64">
        <f t="shared" si="20"/>
        <v>-16.716666666666697</v>
      </c>
      <c r="I34" s="60">
        <f t="shared" si="21"/>
        <v>-5.4620704677884976E-2</v>
      </c>
      <c r="J34" s="65">
        <f t="shared" si="14"/>
        <v>31.55</v>
      </c>
      <c r="K34" s="68">
        <f t="shared" si="15"/>
        <v>57.666666666666664</v>
      </c>
      <c r="L34" s="64">
        <f t="shared" si="22"/>
        <v>26.116666666666664</v>
      </c>
      <c r="M34" s="60">
        <f t="shared" si="23"/>
        <v>0.82778658214474365</v>
      </c>
      <c r="N34" s="65">
        <f t="shared" si="16"/>
        <v>914.65</v>
      </c>
      <c r="O34" s="68">
        <f t="shared" si="17"/>
        <v>904.72222222222217</v>
      </c>
      <c r="P34" s="64">
        <f t="shared" si="24"/>
        <v>-9.9277777777778056</v>
      </c>
      <c r="Q34" s="60">
        <f t="shared" si="25"/>
        <v>-1.0854182231211727E-2</v>
      </c>
      <c r="R34" s="100">
        <v>20</v>
      </c>
      <c r="S34" s="56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10</v>
      </c>
      <c r="B35" s="65">
        <f t="shared" si="10"/>
        <v>565</v>
      </c>
      <c r="C35" s="68">
        <f t="shared" si="11"/>
        <v>562.71428571428567</v>
      </c>
      <c r="D35" s="64">
        <f t="shared" si="18"/>
        <v>-2.2857142857143344</v>
      </c>
      <c r="E35" s="60">
        <f t="shared" si="19"/>
        <v>-4.0455120101138666E-3</v>
      </c>
      <c r="F35" s="65">
        <f t="shared" si="12"/>
        <v>300.5</v>
      </c>
      <c r="G35" s="68">
        <f t="shared" si="13"/>
        <v>295.85714285714283</v>
      </c>
      <c r="H35" s="64">
        <f t="shared" si="20"/>
        <v>-4.6428571428571672</v>
      </c>
      <c r="I35" s="60">
        <f t="shared" si="21"/>
        <v>-1.5450439743285083E-2</v>
      </c>
      <c r="J35" s="65">
        <f t="shared" si="14"/>
        <v>41.833333333333336</v>
      </c>
      <c r="K35" s="68">
        <f t="shared" si="15"/>
        <v>31.285714285714285</v>
      </c>
      <c r="L35" s="64">
        <f t="shared" si="22"/>
        <v>-10.547619047619051</v>
      </c>
      <c r="M35" s="60">
        <f t="shared" si="23"/>
        <v>-0.25213431986340362</v>
      </c>
      <c r="N35" s="65">
        <f t="shared" si="16"/>
        <v>907.33333333333337</v>
      </c>
      <c r="O35" s="68">
        <f t="shared" si="17"/>
        <v>889.85714285714289</v>
      </c>
      <c r="P35" s="64">
        <f t="shared" si="24"/>
        <v>-17.476190476190482</v>
      </c>
      <c r="Q35" s="60">
        <f t="shared" si="25"/>
        <v>-1.9261047549071066E-2</v>
      </c>
      <c r="R35" s="100">
        <v>18</v>
      </c>
      <c r="S35" s="56">
        <v>21</v>
      </c>
      <c r="T35" s="77">
        <f t="shared" si="26"/>
        <v>18</v>
      </c>
      <c r="U35" s="77">
        <f t="shared" si="26"/>
        <v>21</v>
      </c>
    </row>
    <row r="36" spans="1:21" ht="11.25" customHeight="1" x14ac:dyDescent="0.2">
      <c r="A36" s="41" t="s">
        <v>11</v>
      </c>
      <c r="B36" s="66">
        <f t="shared" si="10"/>
        <v>535.0454545454545</v>
      </c>
      <c r="C36" s="69">
        <f t="shared" si="11"/>
        <v>501.18181818181819</v>
      </c>
      <c r="D36" s="71">
        <f t="shared" si="18"/>
        <v>-33.863636363636317</v>
      </c>
      <c r="E36" s="61">
        <f t="shared" si="19"/>
        <v>-6.329113924050625E-2</v>
      </c>
      <c r="F36" s="66">
        <f t="shared" si="12"/>
        <v>252.40909090909091</v>
      </c>
      <c r="G36" s="69">
        <f t="shared" si="13"/>
        <v>267.77272727272725</v>
      </c>
      <c r="H36" s="71">
        <f t="shared" si="20"/>
        <v>15.363636363636346</v>
      </c>
      <c r="I36" s="61">
        <f t="shared" si="21"/>
        <v>6.0867999279668579E-2</v>
      </c>
      <c r="J36" s="66">
        <f t="shared" si="14"/>
        <v>63.227272727272727</v>
      </c>
      <c r="K36" s="69">
        <f t="shared" si="15"/>
        <v>20.545454545454547</v>
      </c>
      <c r="L36" s="71">
        <f t="shared" si="22"/>
        <v>-42.68181818181818</v>
      </c>
      <c r="M36" s="61">
        <f t="shared" si="23"/>
        <v>-0.67505391804457227</v>
      </c>
      <c r="N36" s="66">
        <f t="shared" si="16"/>
        <v>850.68181818181813</v>
      </c>
      <c r="O36" s="69">
        <f t="shared" si="17"/>
        <v>789.5</v>
      </c>
      <c r="P36" s="71">
        <f t="shared" si="24"/>
        <v>-61.18181818181813</v>
      </c>
      <c r="Q36" s="61">
        <f t="shared" si="25"/>
        <v>-7.192091904889121E-2</v>
      </c>
      <c r="R36" s="85">
        <v>22</v>
      </c>
      <c r="S36" s="85">
        <v>22</v>
      </c>
      <c r="T36" s="77">
        <f t="shared" si="26"/>
        <v>22</v>
      </c>
      <c r="U36" s="77">
        <f t="shared" si="26"/>
        <v>22</v>
      </c>
    </row>
    <row r="37" spans="1:21" ht="11.25" customHeight="1" x14ac:dyDescent="0.2">
      <c r="A37" s="20" t="s">
        <v>12</v>
      </c>
      <c r="B37" s="65">
        <f t="shared" si="10"/>
        <v>454.82608695652175</v>
      </c>
      <c r="C37" s="68">
        <f t="shared" si="11"/>
        <v>517.80952380952385</v>
      </c>
      <c r="D37" s="64">
        <f t="shared" si="18"/>
        <v>62.983436853002104</v>
      </c>
      <c r="E37" s="60">
        <f t="shared" si="19"/>
        <v>0.13847806592286094</v>
      </c>
      <c r="F37" s="65">
        <f t="shared" si="12"/>
        <v>223.13043478260869</v>
      </c>
      <c r="G37" s="68">
        <f t="shared" si="13"/>
        <v>295.8095238095238</v>
      </c>
      <c r="H37" s="64">
        <f t="shared" si="20"/>
        <v>72.679089026915108</v>
      </c>
      <c r="I37" s="60">
        <f t="shared" si="21"/>
        <v>0.32572467802397653</v>
      </c>
      <c r="J37" s="65">
        <f t="shared" si="14"/>
        <v>52.826086956521742</v>
      </c>
      <c r="K37" s="68">
        <f t="shared" si="15"/>
        <v>29.61904761904762</v>
      </c>
      <c r="L37" s="64">
        <f t="shared" si="22"/>
        <v>-23.207039337474122</v>
      </c>
      <c r="M37" s="60">
        <f t="shared" si="23"/>
        <v>-0.43931020968058004</v>
      </c>
      <c r="N37" s="65">
        <f t="shared" si="16"/>
        <v>730.78260869565213</v>
      </c>
      <c r="O37" s="68">
        <f t="shared" si="17"/>
        <v>843.23809523809518</v>
      </c>
      <c r="P37" s="64">
        <f t="shared" si="24"/>
        <v>112.45548654244305</v>
      </c>
      <c r="Q37" s="60">
        <f t="shared" si="25"/>
        <v>0.1538836381768319</v>
      </c>
      <c r="R37" s="100">
        <v>23</v>
      </c>
      <c r="S37" s="56">
        <v>21</v>
      </c>
      <c r="T37" s="77">
        <f t="shared" si="26"/>
        <v>23</v>
      </c>
      <c r="U37" s="77">
        <f t="shared" si="26"/>
        <v>21</v>
      </c>
    </row>
    <row r="38" spans="1:21" ht="11.25" customHeight="1" x14ac:dyDescent="0.2">
      <c r="A38" s="20" t="s">
        <v>13</v>
      </c>
      <c r="B38" s="65">
        <f t="shared" si="10"/>
        <v>486.38095238095241</v>
      </c>
      <c r="C38" s="68">
        <f t="shared" si="11"/>
        <v>463.72727272727275</v>
      </c>
      <c r="D38" s="64">
        <f t="shared" si="18"/>
        <v>-22.65367965367966</v>
      </c>
      <c r="E38" s="60">
        <f t="shared" si="19"/>
        <v>-4.6576000854442218E-2</v>
      </c>
      <c r="F38" s="65">
        <f t="shared" si="12"/>
        <v>258.66666666666669</v>
      </c>
      <c r="G38" s="68">
        <f t="shared" si="13"/>
        <v>276.36363636363637</v>
      </c>
      <c r="H38" s="64">
        <f t="shared" si="20"/>
        <v>17.696969696969688</v>
      </c>
      <c r="I38" s="60">
        <f t="shared" si="21"/>
        <v>6.8416119962511679E-2</v>
      </c>
      <c r="J38" s="65">
        <f t="shared" si="14"/>
        <v>36.285714285714285</v>
      </c>
      <c r="K38" s="68">
        <f t="shared" si="15"/>
        <v>43.545454545454547</v>
      </c>
      <c r="L38" s="64">
        <f t="shared" si="22"/>
        <v>7.259740259740262</v>
      </c>
      <c r="M38" s="60">
        <f t="shared" si="23"/>
        <v>0.20007158196134581</v>
      </c>
      <c r="N38" s="65">
        <f t="shared" si="16"/>
        <v>781.33333333333337</v>
      </c>
      <c r="O38" s="68">
        <f t="shared" si="17"/>
        <v>783.63636363636363</v>
      </c>
      <c r="P38" s="64">
        <f t="shared" si="24"/>
        <v>2.3030303030302548</v>
      </c>
      <c r="Q38" s="60">
        <f t="shared" si="25"/>
        <v>2.9475643810114179E-3</v>
      </c>
      <c r="R38" s="100">
        <v>21</v>
      </c>
      <c r="S38" s="56">
        <v>22</v>
      </c>
      <c r="T38" s="77">
        <f t="shared" si="26"/>
        <v>21</v>
      </c>
      <c r="U38" s="77">
        <f t="shared" si="26"/>
        <v>22</v>
      </c>
    </row>
    <row r="39" spans="1:21" ht="11.25" customHeight="1" x14ac:dyDescent="0.2">
      <c r="A39" s="41" t="s">
        <v>14</v>
      </c>
      <c r="B39" s="66">
        <f t="shared" si="10"/>
        <v>499.63636363636363</v>
      </c>
      <c r="C39" s="69">
        <f t="shared" si="11"/>
        <v>552.90476190476193</v>
      </c>
      <c r="D39" s="71">
        <f t="shared" si="18"/>
        <v>53.2683982683983</v>
      </c>
      <c r="E39" s="61">
        <f t="shared" si="19"/>
        <v>0.10661433423442164</v>
      </c>
      <c r="F39" s="66">
        <f t="shared" si="12"/>
        <v>257.54545454545456</v>
      </c>
      <c r="G39" s="69">
        <f t="shared" si="13"/>
        <v>343.38095238095241</v>
      </c>
      <c r="H39" s="71">
        <f t="shared" si="20"/>
        <v>85.835497835497847</v>
      </c>
      <c r="I39" s="61">
        <f t="shared" si="21"/>
        <v>0.3332829072327837</v>
      </c>
      <c r="J39" s="66">
        <f t="shared" si="14"/>
        <v>63.772727272727273</v>
      </c>
      <c r="K39" s="69">
        <f t="shared" si="15"/>
        <v>17.761904761904763</v>
      </c>
      <c r="L39" s="71">
        <f t="shared" si="22"/>
        <v>-46.010822510822507</v>
      </c>
      <c r="M39" s="61">
        <f t="shared" si="23"/>
        <v>-0.72148117978481474</v>
      </c>
      <c r="N39" s="66">
        <f t="shared" si="16"/>
        <v>820.9545454545455</v>
      </c>
      <c r="O39" s="69">
        <f t="shared" si="17"/>
        <v>914.04761904761904</v>
      </c>
      <c r="P39" s="71">
        <f t="shared" si="24"/>
        <v>93.093073593073541</v>
      </c>
      <c r="Q39" s="61">
        <f t="shared" si="25"/>
        <v>0.11339613637382304</v>
      </c>
      <c r="R39" s="85">
        <v>22</v>
      </c>
      <c r="S39" s="85">
        <v>21</v>
      </c>
      <c r="T39" s="77">
        <f t="shared" si="26"/>
        <v>22</v>
      </c>
      <c r="U39" s="77">
        <f t="shared" si="26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64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64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64" t="str">
        <f t="shared" si="24"/>
        <v/>
      </c>
      <c r="Q40" s="60" t="str">
        <f t="shared" si="25"/>
        <v/>
      </c>
      <c r="R40" s="100">
        <v>22</v>
      </c>
      <c r="S40" s="56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64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64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64" t="str">
        <f t="shared" si="24"/>
        <v/>
      </c>
      <c r="Q41" s="60" t="str">
        <f t="shared" si="25"/>
        <v/>
      </c>
      <c r="R41" s="100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8"/>
        <v/>
      </c>
      <c r="E42" s="60" t="str">
        <f t="shared" si="19"/>
        <v/>
      </c>
      <c r="F42" s="65" t="str">
        <f t="shared" si="12"/>
        <v/>
      </c>
      <c r="G42" s="68" t="str">
        <f t="shared" si="13"/>
        <v/>
      </c>
      <c r="H42" s="64" t="str">
        <f t="shared" si="20"/>
        <v/>
      </c>
      <c r="I42" s="60" t="str">
        <f t="shared" si="21"/>
        <v/>
      </c>
      <c r="J42" s="65" t="str">
        <f t="shared" si="14"/>
        <v/>
      </c>
      <c r="K42" s="68" t="str">
        <f t="shared" si="15"/>
        <v/>
      </c>
      <c r="L42" s="64" t="str">
        <f t="shared" si="22"/>
        <v/>
      </c>
      <c r="M42" s="60" t="str">
        <f t="shared" si="23"/>
        <v/>
      </c>
      <c r="N42" s="65" t="str">
        <f t="shared" si="16"/>
        <v/>
      </c>
      <c r="O42" s="68" t="str">
        <f t="shared" si="17"/>
        <v/>
      </c>
      <c r="P42" s="64" t="str">
        <f t="shared" si="24"/>
        <v/>
      </c>
      <c r="Q42" s="60" t="str">
        <f t="shared" si="25"/>
        <v/>
      </c>
      <c r="R42" s="101">
        <v>22</v>
      </c>
      <c r="S42" s="56">
        <v>19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40" t="s">
        <v>29</v>
      </c>
      <c r="B43" s="67">
        <f>IF(B23=0,"",SUM(B31:B42)/B44)</f>
        <v>503.39854549637158</v>
      </c>
      <c r="C43" s="70">
        <f>IF(OR(C23=0,C23=""),"",SUM(C31:C42)/C44)</f>
        <v>512.10116416058452</v>
      </c>
      <c r="D43" s="62">
        <f>IF(B23=0,"",AVERAGE(D31:D42))</f>
        <v>8.7026186642128707</v>
      </c>
      <c r="E43" s="54">
        <f>IF(B23=0,"",AVERAGE(E31:E42))</f>
        <v>2.2358651785475685E-2</v>
      </c>
      <c r="F43" s="67">
        <f>IF(F23=0,"",SUM(F31:F42)/F44)</f>
        <v>257.75008678921722</v>
      </c>
      <c r="G43" s="70">
        <f>IF(OR(G23=0,G23=""),"",SUM(G31:G42)/G44)</f>
        <v>288.04377731769034</v>
      </c>
      <c r="H43" s="62">
        <f>IF(F23=0,"",AVERAGE(H31:H42))</f>
        <v>30.293690528473135</v>
      </c>
      <c r="I43" s="54">
        <f>IF(F23=0,"",AVERAGE(I31:I42))</f>
        <v>0.12633778794899431</v>
      </c>
      <c r="J43" s="67">
        <f>IF(J23=0,"",SUM(J31:J42)/J44)</f>
        <v>52.708141455967542</v>
      </c>
      <c r="K43" s="70">
        <f>IF(OR(K23=0,K23=""),"",SUM(K31:K42)/K44)</f>
        <v>42.8452276387059</v>
      </c>
      <c r="L43" s="62">
        <f>IF(J23=0,"",AVERAGE(L31:L42))</f>
        <v>-9.8629138172616422</v>
      </c>
      <c r="M43" s="54">
        <f>IF(J23=0,"",AVERAGE(M31:M42))</f>
        <v>-7.8448485901165169E-2</v>
      </c>
      <c r="N43" s="67">
        <f>IF(N23=0,"",SUM(N31:N42)/N44)</f>
        <v>813.85677374155625</v>
      </c>
      <c r="O43" s="70">
        <f>IF(OR(O23=0,O23=""),"",SUM(O31:O42)/O44)</f>
        <v>842.99016911698072</v>
      </c>
      <c r="P43" s="62">
        <f>IF(N23=0,"",AVERAGE(P31:P42))</f>
        <v>29.133395375424342</v>
      </c>
      <c r="Q43" s="54">
        <f>IF(N23=0,"",AVERAGE(Q31:Q42))</f>
        <v>4.0968377171012191E-2</v>
      </c>
      <c r="R43" s="86">
        <f>SUM(R31:R42)</f>
        <v>254</v>
      </c>
      <c r="S43" s="86">
        <f>SUM(S31:S42)</f>
        <v>253</v>
      </c>
      <c r="T43" s="77">
        <f>SUM(T31:T42)</f>
        <v>189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09">
        <f>COUNTIF(B31:B42,"&gt;0")</f>
        <v>9</v>
      </c>
      <c r="C44" s="109">
        <f>COUNTIF(C31:C42,"&gt;0")</f>
        <v>9</v>
      </c>
      <c r="D44" s="110"/>
      <c r="E44" s="111"/>
      <c r="F44" s="109">
        <f>COUNTIF(F31:F42,"&gt;0")</f>
        <v>9</v>
      </c>
      <c r="G44" s="109">
        <f>COUNTIF(G31:G42,"&gt;0")</f>
        <v>9</v>
      </c>
      <c r="H44" s="110"/>
      <c r="I44" s="111"/>
      <c r="J44" s="109">
        <f>COUNTIF(J31:J42,"&gt;0")</f>
        <v>9</v>
      </c>
      <c r="K44" s="109">
        <f>COUNTIF(K31:K42,"&gt;0")</f>
        <v>9</v>
      </c>
      <c r="L44" s="110"/>
      <c r="M44" s="111"/>
      <c r="N44" s="109">
        <f>COUNTIF(N31:N42,"&gt;0")</f>
        <v>9</v>
      </c>
      <c r="O44" s="109">
        <f>COUNTIF(O31:O42,"&gt;0")</f>
        <v>9</v>
      </c>
      <c r="P44" s="110"/>
      <c r="Q44" s="111"/>
      <c r="R44" s="112"/>
      <c r="S44" s="112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3zVeGjAdq6OFAMY3doMUm7cZoc9mnGKekBzBW6LPUvfrodj/1Pn9XexduG62NWv0+WRlM3X3PsjFqmvLl8LPgA==" saltValue="5mvUptInrM2jTVjiM24gyQ==" spinCount="100000" sheet="1" objects="1" scenarios="1" selectLockedCells="1" selectUnlockedCells="1"/>
  <mergeCells count="22">
    <mergeCell ref="B28:E28"/>
    <mergeCell ref="F28:I28"/>
    <mergeCell ref="J28:M28"/>
    <mergeCell ref="N8:Q8"/>
    <mergeCell ref="B26:E27"/>
    <mergeCell ref="J8:M8"/>
    <mergeCell ref="B8:E8"/>
    <mergeCell ref="H9:I9"/>
    <mergeCell ref="N28:Q28"/>
    <mergeCell ref="F8:I8"/>
    <mergeCell ref="L9:M9"/>
    <mergeCell ref="P9:Q9"/>
    <mergeCell ref="B2:E2"/>
    <mergeCell ref="D3:E3"/>
    <mergeCell ref="B6:E7"/>
    <mergeCell ref="D9:E9"/>
    <mergeCell ref="B3:C3"/>
    <mergeCell ref="R30:S30"/>
    <mergeCell ref="D29:E29"/>
    <mergeCell ref="H29:I29"/>
    <mergeCell ref="L29:M29"/>
    <mergeCell ref="P29:Q29"/>
  </mergeCells>
  <phoneticPr fontId="0" type="noConversion"/>
  <conditionalFormatting sqref="N13:N16 N18:N21">
    <cfRule type="expression" dxfId="39" priority="9" stopIfTrue="1">
      <formula>O13=""</formula>
    </cfRule>
  </conditionalFormatting>
  <conditionalFormatting sqref="N22 N17 N12">
    <cfRule type="expression" dxfId="38" priority="10" stopIfTrue="1">
      <formula>O12=""</formula>
    </cfRule>
  </conditionalFormatting>
  <conditionalFormatting sqref="R43:S43">
    <cfRule type="expression" dxfId="37" priority="11" stopIfTrue="1">
      <formula>R43&lt;$R43</formula>
    </cfRule>
    <cfRule type="expression" dxfId="36" priority="12" stopIfTrue="1">
      <formula>R43&gt;$R43</formula>
    </cfRule>
  </conditionalFormatting>
  <conditionalFormatting sqref="R31:R42">
    <cfRule type="expression" dxfId="35" priority="3" stopIfTrue="1">
      <formula>R31&lt;$R31</formula>
    </cfRule>
    <cfRule type="expression" dxfId="34" priority="4" stopIfTrue="1">
      <formula>R31&gt;$R31</formula>
    </cfRule>
  </conditionalFormatting>
  <conditionalFormatting sqref="S31:S42">
    <cfRule type="expression" dxfId="33" priority="1" stopIfTrue="1">
      <formula>S31&lt;$R31</formula>
    </cfRule>
    <cfRule type="expression" dxfId="32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0"/>
  <sheetViews>
    <sheetView showGridLines="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84" t="s">
        <v>18</v>
      </c>
      <c r="B2" s="145" t="s">
        <v>32</v>
      </c>
      <c r="C2" s="145"/>
      <c r="D2" s="145"/>
      <c r="E2" s="145"/>
      <c r="Q2" s="79"/>
    </row>
    <row r="3" spans="1:17" ht="13.5" customHeight="1" x14ac:dyDescent="0.2">
      <c r="A3" s="1"/>
      <c r="B3" s="126" t="s">
        <v>20</v>
      </c>
      <c r="C3" s="126"/>
      <c r="D3" s="146" t="s">
        <v>25</v>
      </c>
      <c r="E3" s="146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17" t="s">
        <v>30</v>
      </c>
      <c r="C6" s="118"/>
      <c r="D6" s="118"/>
      <c r="E6" s="118"/>
      <c r="F6" s="9"/>
    </row>
    <row r="7" spans="1:17" ht="11.25" customHeight="1" thickBot="1" x14ac:dyDescent="0.25">
      <c r="B7" s="119"/>
      <c r="C7" s="119"/>
      <c r="D7" s="119"/>
      <c r="E7" s="119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f>'BON-NS'!B9</f>
        <v>2016</v>
      </c>
      <c r="C9" s="46">
        <f>'BON-NS'!C9</f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92">
        <v>6736</v>
      </c>
      <c r="C11" s="42">
        <v>7152</v>
      </c>
      <c r="D11" s="21">
        <f>IF(OR(C11="",B11=0),"",C11-B11)</f>
        <v>416</v>
      </c>
      <c r="E11" s="60">
        <f t="shared" ref="E11:E23" si="0">IF(D11="","",D11/B11)</f>
        <v>6.1757719714964368E-2</v>
      </c>
      <c r="F11" s="92">
        <v>4294</v>
      </c>
      <c r="G11" s="42">
        <v>4876</v>
      </c>
      <c r="H11" s="21">
        <f>IF(OR(G11="",F11=0),"",G11-F11)</f>
        <v>582</v>
      </c>
      <c r="I11" s="60">
        <f t="shared" ref="I11:I23" si="1">IF(H11="","",H11/F11)</f>
        <v>0.13553795994410806</v>
      </c>
      <c r="J11" s="92">
        <v>7470</v>
      </c>
      <c r="K11" s="42">
        <v>8185</v>
      </c>
      <c r="L11" s="21">
        <f>IF(OR(K11="",J11=0),"",K11-J11)</f>
        <v>715</v>
      </c>
      <c r="M11" s="58">
        <f t="shared" ref="M11:M23" si="2">IF(L11="","",L11/J11)</f>
        <v>9.5716198125836677E-2</v>
      </c>
      <c r="N11" s="33">
        <f t="shared" ref="N11:N22" si="3">SUM(B11,F11,J11)</f>
        <v>18500</v>
      </c>
      <c r="O11" s="30">
        <f t="shared" ref="O11:O22" si="4">IF(C11="","",SUM(C11,G11,K11))</f>
        <v>20213</v>
      </c>
      <c r="P11" s="21">
        <f>IF(OR(O11="",N11=0),"",O11-N11)</f>
        <v>1713</v>
      </c>
      <c r="Q11" s="58">
        <f t="shared" ref="Q11:Q23" si="5">IF(P11="","",P11/N11)</f>
        <v>9.2594594594594598E-2</v>
      </c>
    </row>
    <row r="12" spans="1:17" ht="11.25" customHeight="1" x14ac:dyDescent="0.2">
      <c r="A12" s="20" t="s">
        <v>7</v>
      </c>
      <c r="B12" s="92">
        <v>7743</v>
      </c>
      <c r="C12" s="42">
        <v>7498</v>
      </c>
      <c r="D12" s="21">
        <f t="shared" ref="D12:D22" si="6">IF(OR(C12="",B12=0),"",C12-B12)</f>
        <v>-245</v>
      </c>
      <c r="E12" s="60">
        <f t="shared" si="0"/>
        <v>-3.1641482629471779E-2</v>
      </c>
      <c r="F12" s="92">
        <v>4933</v>
      </c>
      <c r="G12" s="42">
        <v>5021</v>
      </c>
      <c r="H12" s="21">
        <f t="shared" ref="H12:H22" si="7">IF(OR(G12="",F12=0),"",G12-F12)</f>
        <v>88</v>
      </c>
      <c r="I12" s="60">
        <f t="shared" si="1"/>
        <v>1.783904317859315E-2</v>
      </c>
      <c r="J12" s="92">
        <v>9858</v>
      </c>
      <c r="K12" s="42">
        <v>9443</v>
      </c>
      <c r="L12" s="21">
        <f t="shared" ref="L12:L22" si="8">IF(OR(K12="",J12=0),"",K12-J12)</f>
        <v>-415</v>
      </c>
      <c r="M12" s="58">
        <f t="shared" si="2"/>
        <v>-4.209778859809292E-2</v>
      </c>
      <c r="N12" s="33">
        <f t="shared" si="3"/>
        <v>22534</v>
      </c>
      <c r="O12" s="30">
        <f t="shared" si="4"/>
        <v>21962</v>
      </c>
      <c r="P12" s="21">
        <f t="shared" ref="P12:P22" si="9">IF(OR(O12="",N12=0),"",O12-N12)</f>
        <v>-572</v>
      </c>
      <c r="Q12" s="58">
        <f t="shared" si="5"/>
        <v>-2.5383864382710571E-2</v>
      </c>
    </row>
    <row r="13" spans="1:17" ht="11.25" customHeight="1" x14ac:dyDescent="0.2">
      <c r="A13" s="87" t="s">
        <v>8</v>
      </c>
      <c r="B13" s="93">
        <v>8283</v>
      </c>
      <c r="C13" s="43">
        <v>8837</v>
      </c>
      <c r="D13" s="22">
        <f t="shared" si="6"/>
        <v>554</v>
      </c>
      <c r="E13" s="61">
        <f t="shared" si="0"/>
        <v>6.688397923457684E-2</v>
      </c>
      <c r="F13" s="93">
        <v>5393</v>
      </c>
      <c r="G13" s="43">
        <v>6081</v>
      </c>
      <c r="H13" s="22">
        <f t="shared" si="7"/>
        <v>688</v>
      </c>
      <c r="I13" s="61">
        <f t="shared" si="1"/>
        <v>0.1275727795290191</v>
      </c>
      <c r="J13" s="93">
        <v>10267</v>
      </c>
      <c r="K13" s="43">
        <v>11803</v>
      </c>
      <c r="L13" s="22">
        <f t="shared" si="8"/>
        <v>1536</v>
      </c>
      <c r="M13" s="59">
        <f t="shared" si="2"/>
        <v>0.14960553228791273</v>
      </c>
      <c r="N13" s="35">
        <f t="shared" si="3"/>
        <v>23943</v>
      </c>
      <c r="O13" s="31">
        <f t="shared" si="4"/>
        <v>26721</v>
      </c>
      <c r="P13" s="22">
        <f t="shared" si="9"/>
        <v>2778</v>
      </c>
      <c r="Q13" s="59">
        <f t="shared" si="5"/>
        <v>0.11602556070667835</v>
      </c>
    </row>
    <row r="14" spans="1:17" ht="11.25" customHeight="1" x14ac:dyDescent="0.2">
      <c r="A14" s="20" t="s">
        <v>9</v>
      </c>
      <c r="B14" s="92">
        <v>7854</v>
      </c>
      <c r="C14" s="42">
        <v>6953</v>
      </c>
      <c r="D14" s="21">
        <f t="shared" si="6"/>
        <v>-901</v>
      </c>
      <c r="E14" s="60">
        <f t="shared" si="0"/>
        <v>-0.11471861471861472</v>
      </c>
      <c r="F14" s="92">
        <v>5139</v>
      </c>
      <c r="G14" s="42">
        <v>4876</v>
      </c>
      <c r="H14" s="21">
        <f t="shared" si="7"/>
        <v>-263</v>
      </c>
      <c r="I14" s="60">
        <f t="shared" si="1"/>
        <v>-5.1177271842770967E-2</v>
      </c>
      <c r="J14" s="92">
        <v>11333</v>
      </c>
      <c r="K14" s="42">
        <v>9434</v>
      </c>
      <c r="L14" s="21">
        <f t="shared" si="8"/>
        <v>-1899</v>
      </c>
      <c r="M14" s="58">
        <f t="shared" si="2"/>
        <v>-0.16756375187505515</v>
      </c>
      <c r="N14" s="33">
        <f t="shared" si="3"/>
        <v>24326</v>
      </c>
      <c r="O14" s="30">
        <f t="shared" si="4"/>
        <v>21263</v>
      </c>
      <c r="P14" s="21">
        <f t="shared" si="9"/>
        <v>-3063</v>
      </c>
      <c r="Q14" s="58">
        <f t="shared" si="5"/>
        <v>-0.12591465921236536</v>
      </c>
    </row>
    <row r="15" spans="1:17" ht="11.25" customHeight="1" x14ac:dyDescent="0.2">
      <c r="A15" s="20" t="s">
        <v>10</v>
      </c>
      <c r="B15" s="92">
        <v>7202</v>
      </c>
      <c r="C15" s="42">
        <v>8404</v>
      </c>
      <c r="D15" s="21">
        <f t="shared" si="6"/>
        <v>1202</v>
      </c>
      <c r="E15" s="60">
        <f t="shared" si="0"/>
        <v>0.16689808386559288</v>
      </c>
      <c r="F15" s="92">
        <v>4733</v>
      </c>
      <c r="G15" s="42">
        <v>5621</v>
      </c>
      <c r="H15" s="21">
        <f t="shared" si="7"/>
        <v>888</v>
      </c>
      <c r="I15" s="60">
        <f t="shared" si="1"/>
        <v>0.18761884639763363</v>
      </c>
      <c r="J15" s="92">
        <v>9866</v>
      </c>
      <c r="K15" s="42">
        <v>11012</v>
      </c>
      <c r="L15" s="21">
        <f t="shared" si="8"/>
        <v>1146</v>
      </c>
      <c r="M15" s="58">
        <f t="shared" si="2"/>
        <v>0.11615649706061221</v>
      </c>
      <c r="N15" s="33">
        <f t="shared" si="3"/>
        <v>21801</v>
      </c>
      <c r="O15" s="30">
        <f t="shared" si="4"/>
        <v>25037</v>
      </c>
      <c r="P15" s="21">
        <f t="shared" si="9"/>
        <v>3236</v>
      </c>
      <c r="Q15" s="58">
        <f t="shared" si="5"/>
        <v>0.14843355809366543</v>
      </c>
    </row>
    <row r="16" spans="1:17" ht="11.25" customHeight="1" x14ac:dyDescent="0.2">
      <c r="A16" s="87" t="s">
        <v>11</v>
      </c>
      <c r="B16" s="93">
        <v>8092</v>
      </c>
      <c r="C16" s="43">
        <v>8045</v>
      </c>
      <c r="D16" s="22">
        <f t="shared" si="6"/>
        <v>-47</v>
      </c>
      <c r="E16" s="61">
        <f t="shared" si="0"/>
        <v>-5.8082056351952543E-3</v>
      </c>
      <c r="F16" s="93">
        <v>5381</v>
      </c>
      <c r="G16" s="43">
        <v>5336</v>
      </c>
      <c r="H16" s="22">
        <f t="shared" si="7"/>
        <v>-45</v>
      </c>
      <c r="I16" s="61">
        <f t="shared" si="1"/>
        <v>-8.3627578517004274E-3</v>
      </c>
      <c r="J16" s="93">
        <v>11164</v>
      </c>
      <c r="K16" s="43">
        <v>10517</v>
      </c>
      <c r="L16" s="22">
        <f t="shared" si="8"/>
        <v>-647</v>
      </c>
      <c r="M16" s="59">
        <f t="shared" si="2"/>
        <v>-5.7954138301683986E-2</v>
      </c>
      <c r="N16" s="35">
        <f t="shared" si="3"/>
        <v>24637</v>
      </c>
      <c r="O16" s="31">
        <f t="shared" si="4"/>
        <v>23898</v>
      </c>
      <c r="P16" s="22">
        <f t="shared" si="9"/>
        <v>-739</v>
      </c>
      <c r="Q16" s="59">
        <f t="shared" si="5"/>
        <v>-2.999553517067825E-2</v>
      </c>
    </row>
    <row r="17" spans="1:21" ht="11.25" customHeight="1" x14ac:dyDescent="0.2">
      <c r="A17" s="20" t="s">
        <v>12</v>
      </c>
      <c r="B17" s="92">
        <v>7641</v>
      </c>
      <c r="C17" s="42">
        <v>7446</v>
      </c>
      <c r="D17" s="21">
        <f t="shared" si="6"/>
        <v>-195</v>
      </c>
      <c r="E17" s="60">
        <f t="shared" si="0"/>
        <v>-2.5520219866509618E-2</v>
      </c>
      <c r="F17" s="92">
        <v>5370</v>
      </c>
      <c r="G17" s="42">
        <v>5501</v>
      </c>
      <c r="H17" s="21">
        <f t="shared" si="7"/>
        <v>131</v>
      </c>
      <c r="I17" s="60">
        <f t="shared" si="1"/>
        <v>2.4394785847299812E-2</v>
      </c>
      <c r="J17" s="92">
        <v>9271</v>
      </c>
      <c r="K17" s="42">
        <v>9486</v>
      </c>
      <c r="L17" s="21">
        <f t="shared" si="8"/>
        <v>215</v>
      </c>
      <c r="M17" s="58">
        <f t="shared" si="2"/>
        <v>2.3190594326394132E-2</v>
      </c>
      <c r="N17" s="33">
        <f t="shared" si="3"/>
        <v>22282</v>
      </c>
      <c r="O17" s="30">
        <f t="shared" si="4"/>
        <v>22433</v>
      </c>
      <c r="P17" s="21">
        <f t="shared" si="9"/>
        <v>151</v>
      </c>
      <c r="Q17" s="58">
        <f t="shared" si="5"/>
        <v>6.776770487388924E-3</v>
      </c>
    </row>
    <row r="18" spans="1:21" ht="11.25" customHeight="1" x14ac:dyDescent="0.2">
      <c r="A18" s="20" t="s">
        <v>13</v>
      </c>
      <c r="B18" s="92">
        <v>7347</v>
      </c>
      <c r="C18" s="42">
        <v>7276</v>
      </c>
      <c r="D18" s="21">
        <f t="shared" si="6"/>
        <v>-71</v>
      </c>
      <c r="E18" s="60">
        <f t="shared" si="0"/>
        <v>-9.6638083571525795E-3</v>
      </c>
      <c r="F18" s="92">
        <v>4593</v>
      </c>
      <c r="G18" s="42">
        <v>4933</v>
      </c>
      <c r="H18" s="21">
        <f t="shared" si="7"/>
        <v>340</v>
      </c>
      <c r="I18" s="60">
        <f t="shared" si="1"/>
        <v>7.4025691269322888E-2</v>
      </c>
      <c r="J18" s="92">
        <v>9663</v>
      </c>
      <c r="K18" s="42">
        <v>10382</v>
      </c>
      <c r="L18" s="21">
        <f t="shared" si="8"/>
        <v>719</v>
      </c>
      <c r="M18" s="58">
        <f t="shared" si="2"/>
        <v>7.4407533892165992E-2</v>
      </c>
      <c r="N18" s="33">
        <f t="shared" si="3"/>
        <v>21603</v>
      </c>
      <c r="O18" s="30">
        <f t="shared" si="4"/>
        <v>22591</v>
      </c>
      <c r="P18" s="21">
        <f t="shared" si="9"/>
        <v>988</v>
      </c>
      <c r="Q18" s="58">
        <f t="shared" si="5"/>
        <v>4.5734388742304309E-2</v>
      </c>
    </row>
    <row r="19" spans="1:21" ht="11.25" customHeight="1" x14ac:dyDescent="0.2">
      <c r="A19" s="87" t="s">
        <v>14</v>
      </c>
      <c r="B19" s="93">
        <v>7812</v>
      </c>
      <c r="C19" s="43">
        <v>7902</v>
      </c>
      <c r="D19" s="22">
        <f t="shared" si="6"/>
        <v>90</v>
      </c>
      <c r="E19" s="61">
        <f t="shared" si="0"/>
        <v>1.1520737327188941E-2</v>
      </c>
      <c r="F19" s="93">
        <v>5463</v>
      </c>
      <c r="G19" s="43">
        <v>5716</v>
      </c>
      <c r="H19" s="22">
        <f t="shared" si="7"/>
        <v>253</v>
      </c>
      <c r="I19" s="61">
        <f t="shared" si="1"/>
        <v>4.6311550430166576E-2</v>
      </c>
      <c r="J19" s="93">
        <v>11006</v>
      </c>
      <c r="K19" s="43">
        <v>10671</v>
      </c>
      <c r="L19" s="22">
        <f t="shared" si="8"/>
        <v>-335</v>
      </c>
      <c r="M19" s="59">
        <f t="shared" si="2"/>
        <v>-3.043794294021443E-2</v>
      </c>
      <c r="N19" s="35">
        <f t="shared" si="3"/>
        <v>24281</v>
      </c>
      <c r="O19" s="31">
        <f t="shared" si="4"/>
        <v>24289</v>
      </c>
      <c r="P19" s="22">
        <f t="shared" si="9"/>
        <v>8</v>
      </c>
      <c r="Q19" s="59">
        <f t="shared" si="5"/>
        <v>3.2947572175775298E-4</v>
      </c>
    </row>
    <row r="20" spans="1:21" ht="11.25" customHeight="1" x14ac:dyDescent="0.2">
      <c r="A20" s="20" t="s">
        <v>15</v>
      </c>
      <c r="B20" s="92">
        <v>7490</v>
      </c>
      <c r="C20" s="42"/>
      <c r="D20" s="21" t="str">
        <f t="shared" si="6"/>
        <v/>
      </c>
      <c r="E20" s="60" t="str">
        <f t="shared" si="0"/>
        <v/>
      </c>
      <c r="F20" s="92">
        <v>5125</v>
      </c>
      <c r="G20" s="42"/>
      <c r="H20" s="21" t="str">
        <f t="shared" si="7"/>
        <v/>
      </c>
      <c r="I20" s="60" t="str">
        <f t="shared" si="1"/>
        <v/>
      </c>
      <c r="J20" s="92">
        <v>10295</v>
      </c>
      <c r="K20" s="42"/>
      <c r="L20" s="21" t="str">
        <f t="shared" si="8"/>
        <v/>
      </c>
      <c r="M20" s="58" t="str">
        <f t="shared" si="2"/>
        <v/>
      </c>
      <c r="N20" s="33">
        <f t="shared" si="3"/>
        <v>22910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21" ht="11.25" customHeight="1" x14ac:dyDescent="0.2">
      <c r="A21" s="20" t="s">
        <v>16</v>
      </c>
      <c r="B21" s="92">
        <v>8570</v>
      </c>
      <c r="C21" s="42"/>
      <c r="D21" s="21" t="str">
        <f t="shared" si="6"/>
        <v/>
      </c>
      <c r="E21" s="60" t="str">
        <f t="shared" si="0"/>
        <v/>
      </c>
      <c r="F21" s="92">
        <v>5515</v>
      </c>
      <c r="G21" s="42"/>
      <c r="H21" s="21" t="str">
        <f t="shared" si="7"/>
        <v/>
      </c>
      <c r="I21" s="60" t="str">
        <f t="shared" si="1"/>
        <v/>
      </c>
      <c r="J21" s="92">
        <v>10556</v>
      </c>
      <c r="K21" s="42"/>
      <c r="L21" s="21" t="str">
        <f t="shared" si="8"/>
        <v/>
      </c>
      <c r="M21" s="58" t="str">
        <f t="shared" si="2"/>
        <v/>
      </c>
      <c r="N21" s="33">
        <f t="shared" si="3"/>
        <v>24641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21" ht="11.25" customHeight="1" thickBot="1" x14ac:dyDescent="0.25">
      <c r="A22" s="23" t="s">
        <v>17</v>
      </c>
      <c r="B22" s="94">
        <v>6589</v>
      </c>
      <c r="C22" s="44"/>
      <c r="D22" s="21" t="str">
        <f t="shared" si="6"/>
        <v/>
      </c>
      <c r="E22" s="88" t="str">
        <f t="shared" si="0"/>
        <v/>
      </c>
      <c r="F22" s="94">
        <v>4808</v>
      </c>
      <c r="G22" s="44"/>
      <c r="H22" s="21" t="str">
        <f t="shared" si="7"/>
        <v/>
      </c>
      <c r="I22" s="88" t="str">
        <f t="shared" si="1"/>
        <v/>
      </c>
      <c r="J22" s="94">
        <v>8912</v>
      </c>
      <c r="K22" s="44"/>
      <c r="L22" s="21" t="str">
        <f t="shared" si="8"/>
        <v/>
      </c>
      <c r="M22" s="52" t="str">
        <f t="shared" si="2"/>
        <v/>
      </c>
      <c r="N22" s="34">
        <f t="shared" si="3"/>
        <v>20309</v>
      </c>
      <c r="O22" s="32" t="str">
        <f t="shared" si="4"/>
        <v/>
      </c>
      <c r="P22" s="21" t="str">
        <f t="shared" si="9"/>
        <v/>
      </c>
      <c r="Q22" s="52" t="str">
        <f t="shared" si="5"/>
        <v/>
      </c>
    </row>
    <row r="23" spans="1:21" ht="11.25" customHeight="1" thickBot="1" x14ac:dyDescent="0.25">
      <c r="A23" s="39" t="s">
        <v>3</v>
      </c>
      <c r="B23" s="36">
        <f>IF(C17="",B24,B25)</f>
        <v>68710</v>
      </c>
      <c r="C23" s="37">
        <f>IF(C11="","",SUM(C11:C22))</f>
        <v>69513</v>
      </c>
      <c r="D23" s="38">
        <f>IF(C11="","",SUM(D11:D22))</f>
        <v>803</v>
      </c>
      <c r="E23" s="53">
        <f t="shared" si="0"/>
        <v>1.1686799592490176E-2</v>
      </c>
      <c r="F23" s="36">
        <f>IF(G17="",F24,F25)</f>
        <v>45299</v>
      </c>
      <c r="G23" s="37">
        <f>IF(G11="","",SUM(G11:G22))</f>
        <v>47961</v>
      </c>
      <c r="H23" s="38">
        <f>IF(G11="","",SUM(H11:H22))</f>
        <v>2662</v>
      </c>
      <c r="I23" s="53">
        <f t="shared" si="1"/>
        <v>5.8765094152188793E-2</v>
      </c>
      <c r="J23" s="36">
        <f>IF(K17="",J24,J25)</f>
        <v>89898</v>
      </c>
      <c r="K23" s="37">
        <f>IF(K11="","",SUM(K11:K22))</f>
        <v>90933</v>
      </c>
      <c r="L23" s="38">
        <f>IF(K11="","",SUM(L11:L22))</f>
        <v>1035</v>
      </c>
      <c r="M23" s="53">
        <f t="shared" si="2"/>
        <v>1.1513048121204031E-2</v>
      </c>
      <c r="N23" s="36">
        <f>IF(O17="",N24,N25)</f>
        <v>203907</v>
      </c>
      <c r="O23" s="37">
        <f>IF(O11="","",SUM(O11:O22))</f>
        <v>208407</v>
      </c>
      <c r="P23" s="38">
        <f>IF(O11="","",SUM(P11:P22))</f>
        <v>4500</v>
      </c>
      <c r="Q23" s="53">
        <f t="shared" si="5"/>
        <v>2.2068884344333448E-2</v>
      </c>
    </row>
    <row r="24" spans="1:21" ht="11.25" customHeight="1" x14ac:dyDescent="0.2">
      <c r="A24" s="102" t="s">
        <v>28</v>
      </c>
      <c r="B24" s="103">
        <f>IF(C16&lt;&gt;"",SUM(B11:B16),IF(C15&lt;&gt;"",SUM(B11:B15),IF(C14&lt;&gt;"",SUM(B11:B14),IF(C13&lt;&gt;"",SUM(B11:B13),IF(C12&lt;&gt;"",SUM(B11:B12),B11)))))</f>
        <v>45910</v>
      </c>
      <c r="C24" s="103">
        <f>COUNTIF(C11:C22,"&gt;0")</f>
        <v>9</v>
      </c>
      <c r="D24" s="103"/>
      <c r="E24" s="104"/>
      <c r="F24" s="103">
        <f>IF(G16&lt;&gt;"",SUM(F11:F16),IF(G15&lt;&gt;"",SUM(F11:F15),IF(G14&lt;&gt;"",SUM(F11:F14),IF(G13&lt;&gt;"",SUM(F11:F13),IF(G12&lt;&gt;"",SUM(F11:F12),F11)))))</f>
        <v>29873</v>
      </c>
      <c r="G24" s="103">
        <f>COUNTIF(G11:G22,"&gt;0")</f>
        <v>9</v>
      </c>
      <c r="H24" s="103"/>
      <c r="I24" s="104"/>
      <c r="J24" s="103">
        <f>IF(K16&lt;&gt;"",SUM(J11:J16),IF(K15&lt;&gt;"",SUM(J11:J15),IF(K14&lt;&gt;"",SUM(J11:J14),IF(K13&lt;&gt;"",SUM(J11:J13),IF(K12&lt;&gt;"",SUM(J11:J12),J11)))))</f>
        <v>59958</v>
      </c>
      <c r="K24" s="103">
        <f>COUNTIF(K11:K22,"&gt;0")</f>
        <v>9</v>
      </c>
      <c r="L24" s="103"/>
      <c r="M24" s="104"/>
      <c r="N24" s="103">
        <f>IF(O16&lt;&gt;"",SUM(N11:N16),IF(O15&lt;&gt;"",SUM(N11:N15),IF(O14&lt;&gt;"",SUM(N11:N14),IF(O13&lt;&gt;"",SUM(N11:N13),IF(O12&lt;&gt;"",SUM(N11:N12),N11)))))</f>
        <v>135741</v>
      </c>
      <c r="O24" s="103">
        <f>COUNTIF(O11:O22,"&gt;0")</f>
        <v>9</v>
      </c>
      <c r="P24" s="103"/>
      <c r="Q24" s="104"/>
      <c r="R24" s="105"/>
      <c r="S24" s="105"/>
    </row>
    <row r="25" spans="1:21" ht="11.25" customHeight="1" x14ac:dyDescent="0.2">
      <c r="B25" s="76">
        <f>IF(C22&lt;&gt;"",SUM(B11:B22),IF(C21&lt;&gt;"",SUM(B11:B21),IF(C20&lt;&gt;"",SUM(B11:B20),IF(C19&lt;&gt;"",SUM(B11:B19),IF(C18&lt;&gt;"",SUM(B11:B18),SUM(B11:B17))))))</f>
        <v>68710</v>
      </c>
      <c r="F25" s="76">
        <f>IF(G22&lt;&gt;"",SUM(F11:F22),IF(G21&lt;&gt;"",SUM(F11:F21),IF(G20&lt;&gt;"",SUM(F11:F20),IF(G19&lt;&gt;"",SUM(F11:F19),IF(G18&lt;&gt;"",SUM(F11:F18),SUM(F11:F17))))))</f>
        <v>45299</v>
      </c>
      <c r="J25" s="76">
        <f>IF(K22&lt;&gt;"",SUM(J11:J22),IF(K21&lt;&gt;"",SUM(J11:J21),IF(K20&lt;&gt;"",SUM(J11:J20),IF(K19&lt;&gt;"",SUM(J11:J19),IF(K18&lt;&gt;"",SUM(J11:J18),SUM(J11:J17))))))</f>
        <v>89898</v>
      </c>
      <c r="N25" s="76">
        <f>IF(O22&lt;&gt;"",SUM(N11:N22),IF(O21&lt;&gt;"",SUM(N11:N21),IF(O20&lt;&gt;"",SUM(N11:N20),IF(O19&lt;&gt;"",SUM(N11:N19),IF(O18&lt;&gt;"",SUM(N11:N18),SUM(N11:N17))))))</f>
        <v>203907</v>
      </c>
    </row>
    <row r="26" spans="1:21" ht="11.25" customHeight="1" x14ac:dyDescent="0.2">
      <c r="A26" s="7"/>
      <c r="B26" s="117" t="s">
        <v>22</v>
      </c>
      <c r="C26" s="118"/>
      <c r="D26" s="118"/>
      <c r="E26" s="118"/>
      <c r="F26" s="9"/>
    </row>
    <row r="27" spans="1:21" ht="11.25" customHeight="1" thickBot="1" x14ac:dyDescent="0.25">
      <c r="B27" s="119"/>
      <c r="C27" s="119"/>
      <c r="D27" s="119"/>
      <c r="E27" s="119"/>
    </row>
    <row r="28" spans="1:21" ht="11.25" customHeight="1" thickBot="1" x14ac:dyDescent="0.25">
      <c r="A28" s="25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</row>
    <row r="30" spans="1:21" ht="11.25" customHeight="1" thickBot="1" x14ac:dyDescent="0.25">
      <c r="A30" s="74" t="s">
        <v>24</v>
      </c>
      <c r="B30" s="11">
        <f>T43</f>
        <v>189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1" t="s">
        <v>23</v>
      </c>
      <c r="S30" s="142"/>
    </row>
    <row r="31" spans="1:21" ht="11.25" customHeight="1" x14ac:dyDescent="0.2">
      <c r="A31" s="20" t="s">
        <v>6</v>
      </c>
      <c r="B31" s="65">
        <f t="shared" ref="B31:B42" si="10">IF(C11="","",B11/$R31)</f>
        <v>320.76190476190476</v>
      </c>
      <c r="C31" s="68">
        <f t="shared" ref="C31:C42" si="11">IF(C11="","",C11/$S31)</f>
        <v>325.09090909090907</v>
      </c>
      <c r="D31" s="64">
        <f>IF(OR(C31="",B31=0),"",C31-B31)</f>
        <v>4.3290043290043059</v>
      </c>
      <c r="E31" s="60">
        <f>IF(D31="","",(C31-B31)/ABS(B31))</f>
        <v>1.3496005182465918E-2</v>
      </c>
      <c r="F31" s="65">
        <f t="shared" ref="F31:F42" si="12">IF(G11="","",F11/$R31)</f>
        <v>204.47619047619048</v>
      </c>
      <c r="G31" s="68">
        <f t="shared" ref="G31:G42" si="13">IF(G11="","",G11/$S31)</f>
        <v>221.63636363636363</v>
      </c>
      <c r="H31" s="64">
        <f>IF(OR(G31="",F31=0),"",G31-F31)</f>
        <v>17.160173160173144</v>
      </c>
      <c r="I31" s="60">
        <f>IF(H31="","",(G31-F31)/ABS(F31))</f>
        <v>8.3922598128466697E-2</v>
      </c>
      <c r="J31" s="65">
        <f t="shared" ref="J31:J42" si="14">IF(K11="","",J11/$R31)</f>
        <v>355.71428571428572</v>
      </c>
      <c r="K31" s="68">
        <f t="shared" ref="K31:K42" si="15">IF(K11="","",K11/$S31)</f>
        <v>372.04545454545456</v>
      </c>
      <c r="L31" s="64">
        <f>IF(OR(K31="",J31=0),"",K31-J31)</f>
        <v>16.331168831168839</v>
      </c>
      <c r="M31" s="60">
        <f>IF(L31="","",(K31-J31)/ABS(J31))</f>
        <v>4.5910916392844121E-2</v>
      </c>
      <c r="N31" s="65">
        <f t="shared" ref="N31:N42" si="16">IF(O11="","",N11/$R31)</f>
        <v>880.95238095238096</v>
      </c>
      <c r="O31" s="68">
        <f t="shared" ref="O31:O42" si="17">IF(O11="","",O11/$S31)</f>
        <v>918.77272727272725</v>
      </c>
      <c r="P31" s="64">
        <f>IF(OR(O31="",N31=0),"",O31-N31)</f>
        <v>37.820346320346289</v>
      </c>
      <c r="Q31" s="60">
        <f>IF(P31="","",(O31-N31)/ABS(N31))</f>
        <v>4.2931203931203893E-2</v>
      </c>
      <c r="R31" s="99">
        <v>21</v>
      </c>
      <c r="S31" s="56">
        <v>22</v>
      </c>
      <c r="T31" s="77">
        <f>IF(OR(N31="",N31=0),"",R31)</f>
        <v>21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si="10"/>
        <v>387.15</v>
      </c>
      <c r="C32" s="68">
        <f t="shared" si="11"/>
        <v>374.9</v>
      </c>
      <c r="D32" s="64">
        <f t="shared" ref="D32:D42" si="18">IF(OR(C32="",B32=0),"",C32-B32)</f>
        <v>-12.25</v>
      </c>
      <c r="E32" s="60">
        <f t="shared" ref="E32:E42" si="19">IF(D32="","",(C32-B32)/ABS(B32))</f>
        <v>-3.1641482629471786E-2</v>
      </c>
      <c r="F32" s="65">
        <f t="shared" si="12"/>
        <v>246.65</v>
      </c>
      <c r="G32" s="68">
        <f t="shared" si="13"/>
        <v>251.05</v>
      </c>
      <c r="H32" s="64">
        <f t="shared" ref="H32:H42" si="20">IF(OR(G32="",F32=0),"",G32-F32)</f>
        <v>4.4000000000000057</v>
      </c>
      <c r="I32" s="60">
        <f t="shared" ref="I32:I42" si="21">IF(H32="","",(G32-F32)/ABS(F32))</f>
        <v>1.783904317859317E-2</v>
      </c>
      <c r="J32" s="65">
        <f t="shared" si="14"/>
        <v>492.9</v>
      </c>
      <c r="K32" s="68">
        <f t="shared" si="15"/>
        <v>472.15</v>
      </c>
      <c r="L32" s="64">
        <f t="shared" ref="L32:L42" si="22">IF(OR(K32="",J32=0),"",K32-J32)</f>
        <v>-20.75</v>
      </c>
      <c r="M32" s="60">
        <f t="shared" ref="M32:M42" si="23">IF(L32="","",(K32-J32)/ABS(J32))</f>
        <v>-4.209778859809292E-2</v>
      </c>
      <c r="N32" s="65">
        <f t="shared" si="16"/>
        <v>1126.7</v>
      </c>
      <c r="O32" s="68">
        <f t="shared" si="17"/>
        <v>1098.0999999999999</v>
      </c>
      <c r="P32" s="64">
        <f t="shared" ref="P32:P42" si="24">IF(OR(O32="",N32=0),"",O32-N32)</f>
        <v>-28.600000000000136</v>
      </c>
      <c r="Q32" s="60">
        <f t="shared" ref="Q32:Q42" si="25">IF(P32="","",(O32-N32)/ABS(N32))</f>
        <v>-2.5383864382710692E-2</v>
      </c>
      <c r="R32" s="100">
        <v>20</v>
      </c>
      <c r="S32" s="56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41" t="s">
        <v>8</v>
      </c>
      <c r="B33" s="66">
        <f t="shared" si="10"/>
        <v>376.5</v>
      </c>
      <c r="C33" s="69">
        <f t="shared" si="11"/>
        <v>384.21739130434781</v>
      </c>
      <c r="D33" s="71">
        <f t="shared" si="18"/>
        <v>7.7173913043478137</v>
      </c>
      <c r="E33" s="61">
        <f t="shared" si="19"/>
        <v>2.0497719267856079E-2</v>
      </c>
      <c r="F33" s="66">
        <f t="shared" si="12"/>
        <v>245.13636363636363</v>
      </c>
      <c r="G33" s="69">
        <f t="shared" si="13"/>
        <v>264.39130434782606</v>
      </c>
      <c r="H33" s="71">
        <f t="shared" si="20"/>
        <v>19.254940711462439</v>
      </c>
      <c r="I33" s="61">
        <f t="shared" si="21"/>
        <v>7.8547876071235617E-2</v>
      </c>
      <c r="J33" s="66">
        <f t="shared" si="14"/>
        <v>466.68181818181819</v>
      </c>
      <c r="K33" s="69">
        <f t="shared" si="15"/>
        <v>513.17391304347825</v>
      </c>
      <c r="L33" s="71">
        <f t="shared" si="22"/>
        <v>46.492094861660064</v>
      </c>
      <c r="M33" s="61">
        <f t="shared" si="23"/>
        <v>9.9622683058003453E-2</v>
      </c>
      <c r="N33" s="66">
        <f t="shared" si="16"/>
        <v>1088.3181818181818</v>
      </c>
      <c r="O33" s="69">
        <f t="shared" si="17"/>
        <v>1161.7826086956522</v>
      </c>
      <c r="P33" s="71">
        <f t="shared" si="24"/>
        <v>73.464426877470487</v>
      </c>
      <c r="Q33" s="61">
        <f t="shared" si="25"/>
        <v>6.750271024117073E-2</v>
      </c>
      <c r="R33" s="85">
        <v>22</v>
      </c>
      <c r="S33" s="85">
        <v>23</v>
      </c>
      <c r="T33" s="77">
        <f t="shared" si="26"/>
        <v>22</v>
      </c>
      <c r="U33" s="77">
        <f t="shared" si="26"/>
        <v>23</v>
      </c>
    </row>
    <row r="34" spans="1:21" ht="11.25" customHeight="1" x14ac:dyDescent="0.2">
      <c r="A34" s="20" t="s">
        <v>9</v>
      </c>
      <c r="B34" s="65">
        <f t="shared" si="10"/>
        <v>392.7</v>
      </c>
      <c r="C34" s="68">
        <f t="shared" si="11"/>
        <v>386.27777777777777</v>
      </c>
      <c r="D34" s="64">
        <f t="shared" si="18"/>
        <v>-6.4222222222222172</v>
      </c>
      <c r="E34" s="60">
        <f t="shared" si="19"/>
        <v>-1.6354016354016343E-2</v>
      </c>
      <c r="F34" s="65">
        <f t="shared" si="12"/>
        <v>256.95</v>
      </c>
      <c r="G34" s="68">
        <f t="shared" si="13"/>
        <v>270.88888888888891</v>
      </c>
      <c r="H34" s="64">
        <f t="shared" si="20"/>
        <v>13.938888888888926</v>
      </c>
      <c r="I34" s="60">
        <f t="shared" si="21"/>
        <v>5.4247475730254624E-2</v>
      </c>
      <c r="J34" s="65">
        <f t="shared" si="14"/>
        <v>566.65</v>
      </c>
      <c r="K34" s="68">
        <f t="shared" si="15"/>
        <v>524.11111111111109</v>
      </c>
      <c r="L34" s="64">
        <f t="shared" si="22"/>
        <v>-42.538888888888891</v>
      </c>
      <c r="M34" s="60">
        <f t="shared" si="23"/>
        <v>-7.5070835416727946E-2</v>
      </c>
      <c r="N34" s="65">
        <f t="shared" si="16"/>
        <v>1216.3</v>
      </c>
      <c r="O34" s="68">
        <f t="shared" si="17"/>
        <v>1181.2777777777778</v>
      </c>
      <c r="P34" s="64">
        <f t="shared" si="24"/>
        <v>-35.022222222222126</v>
      </c>
      <c r="Q34" s="60">
        <f t="shared" si="25"/>
        <v>-2.8794065791517002E-2</v>
      </c>
      <c r="R34" s="100">
        <v>20</v>
      </c>
      <c r="S34" s="56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10</v>
      </c>
      <c r="B35" s="65">
        <f t="shared" si="10"/>
        <v>400.11111111111109</v>
      </c>
      <c r="C35" s="68">
        <f t="shared" si="11"/>
        <v>400.1904761904762</v>
      </c>
      <c r="D35" s="64">
        <f t="shared" si="18"/>
        <v>7.9365079365118163E-2</v>
      </c>
      <c r="E35" s="60">
        <f t="shared" si="19"/>
        <v>1.9835759907971772E-4</v>
      </c>
      <c r="F35" s="65">
        <f t="shared" si="12"/>
        <v>262.94444444444446</v>
      </c>
      <c r="G35" s="68">
        <f t="shared" si="13"/>
        <v>267.66666666666669</v>
      </c>
      <c r="H35" s="64">
        <f t="shared" si="20"/>
        <v>4.7222222222222285</v>
      </c>
      <c r="I35" s="60">
        <f t="shared" si="21"/>
        <v>1.7959011197971712E-2</v>
      </c>
      <c r="J35" s="65">
        <f t="shared" si="14"/>
        <v>548.11111111111109</v>
      </c>
      <c r="K35" s="68">
        <f t="shared" si="15"/>
        <v>524.38095238095241</v>
      </c>
      <c r="L35" s="64">
        <f t="shared" si="22"/>
        <v>-23.730158730158678</v>
      </c>
      <c r="M35" s="60">
        <f t="shared" si="23"/>
        <v>-4.329443109090373E-2</v>
      </c>
      <c r="N35" s="65">
        <f t="shared" si="16"/>
        <v>1211.1666666666667</v>
      </c>
      <c r="O35" s="68">
        <f t="shared" si="17"/>
        <v>1192.2380952380952</v>
      </c>
      <c r="P35" s="64">
        <f t="shared" si="24"/>
        <v>-18.928571428571558</v>
      </c>
      <c r="Q35" s="60">
        <f t="shared" si="25"/>
        <v>-1.5628378776858312E-2</v>
      </c>
      <c r="R35" s="100">
        <v>18</v>
      </c>
      <c r="S35" s="56">
        <v>21</v>
      </c>
      <c r="T35" s="77">
        <f t="shared" si="26"/>
        <v>18</v>
      </c>
      <c r="U35" s="77">
        <f t="shared" si="26"/>
        <v>21</v>
      </c>
    </row>
    <row r="36" spans="1:21" ht="11.25" customHeight="1" x14ac:dyDescent="0.2">
      <c r="A36" s="41" t="s">
        <v>11</v>
      </c>
      <c r="B36" s="66">
        <f t="shared" si="10"/>
        <v>367.81818181818181</v>
      </c>
      <c r="C36" s="69">
        <f t="shared" si="11"/>
        <v>365.68181818181819</v>
      </c>
      <c r="D36" s="71">
        <f t="shared" si="18"/>
        <v>-2.136363636363626</v>
      </c>
      <c r="E36" s="61">
        <f t="shared" si="19"/>
        <v>-5.8082056351952266E-3</v>
      </c>
      <c r="F36" s="66">
        <f t="shared" si="12"/>
        <v>244.59090909090909</v>
      </c>
      <c r="G36" s="69">
        <f t="shared" si="13"/>
        <v>242.54545454545453</v>
      </c>
      <c r="H36" s="71">
        <f t="shared" si="20"/>
        <v>-2.045454545454561</v>
      </c>
      <c r="I36" s="61">
        <f t="shared" si="21"/>
        <v>-8.3627578517004916E-3</v>
      </c>
      <c r="J36" s="66">
        <f t="shared" si="14"/>
        <v>507.45454545454544</v>
      </c>
      <c r="K36" s="69">
        <f t="shared" si="15"/>
        <v>478.04545454545456</v>
      </c>
      <c r="L36" s="71">
        <f t="shared" si="22"/>
        <v>-29.409090909090878</v>
      </c>
      <c r="M36" s="61">
        <f t="shared" si="23"/>
        <v>-5.7954138301683923E-2</v>
      </c>
      <c r="N36" s="66">
        <f t="shared" si="16"/>
        <v>1119.8636363636363</v>
      </c>
      <c r="O36" s="69">
        <f t="shared" si="17"/>
        <v>1086.2727272727273</v>
      </c>
      <c r="P36" s="71">
        <f t="shared" si="24"/>
        <v>-33.590909090909008</v>
      </c>
      <c r="Q36" s="61">
        <f t="shared" si="25"/>
        <v>-2.9995535170678177E-2</v>
      </c>
      <c r="R36" s="85">
        <v>22</v>
      </c>
      <c r="S36" s="85">
        <v>22</v>
      </c>
      <c r="T36" s="77">
        <f t="shared" si="26"/>
        <v>22</v>
      </c>
      <c r="U36" s="77">
        <f t="shared" si="26"/>
        <v>22</v>
      </c>
    </row>
    <row r="37" spans="1:21" ht="11.25" customHeight="1" x14ac:dyDescent="0.2">
      <c r="A37" s="20" t="s">
        <v>12</v>
      </c>
      <c r="B37" s="65">
        <f t="shared" si="10"/>
        <v>332.21739130434781</v>
      </c>
      <c r="C37" s="68">
        <f t="shared" si="11"/>
        <v>354.57142857142856</v>
      </c>
      <c r="D37" s="64">
        <f t="shared" si="18"/>
        <v>22.354037267080741</v>
      </c>
      <c r="E37" s="60">
        <f t="shared" si="19"/>
        <v>6.7287378241441834E-2</v>
      </c>
      <c r="F37" s="65">
        <f t="shared" si="12"/>
        <v>233.47826086956522</v>
      </c>
      <c r="G37" s="68">
        <f t="shared" si="13"/>
        <v>261.95238095238096</v>
      </c>
      <c r="H37" s="64">
        <f t="shared" si="20"/>
        <v>28.474120082815745</v>
      </c>
      <c r="I37" s="60">
        <f t="shared" si="21"/>
        <v>0.12195619402323317</v>
      </c>
      <c r="J37" s="65">
        <f t="shared" si="14"/>
        <v>403.08695652173913</v>
      </c>
      <c r="K37" s="68">
        <f t="shared" si="15"/>
        <v>451.71428571428572</v>
      </c>
      <c r="L37" s="64">
        <f t="shared" si="22"/>
        <v>48.627329192546597</v>
      </c>
      <c r="M37" s="60">
        <f t="shared" si="23"/>
        <v>0.12063731759557456</v>
      </c>
      <c r="N37" s="65">
        <f t="shared" si="16"/>
        <v>968.78260869565213</v>
      </c>
      <c r="O37" s="68">
        <f t="shared" si="17"/>
        <v>1068.2380952380952</v>
      </c>
      <c r="P37" s="64">
        <f t="shared" si="24"/>
        <v>99.455486542443055</v>
      </c>
      <c r="Q37" s="60">
        <f t="shared" si="25"/>
        <v>0.10266027243856882</v>
      </c>
      <c r="R37" s="100">
        <v>23</v>
      </c>
      <c r="S37" s="56">
        <v>21</v>
      </c>
      <c r="T37" s="77">
        <f t="shared" si="26"/>
        <v>23</v>
      </c>
      <c r="U37" s="77">
        <f t="shared" si="26"/>
        <v>21</v>
      </c>
    </row>
    <row r="38" spans="1:21" ht="11.25" customHeight="1" x14ac:dyDescent="0.2">
      <c r="A38" s="20" t="s">
        <v>13</v>
      </c>
      <c r="B38" s="65">
        <f t="shared" si="10"/>
        <v>349.85714285714283</v>
      </c>
      <c r="C38" s="68">
        <f t="shared" si="11"/>
        <v>330.72727272727275</v>
      </c>
      <c r="D38" s="64">
        <f t="shared" si="18"/>
        <v>-19.129870129870085</v>
      </c>
      <c r="E38" s="60">
        <f t="shared" si="19"/>
        <v>-5.4679089795463702E-2</v>
      </c>
      <c r="F38" s="65">
        <f t="shared" si="12"/>
        <v>218.71428571428572</v>
      </c>
      <c r="G38" s="68">
        <f t="shared" si="13"/>
        <v>224.22727272727272</v>
      </c>
      <c r="H38" s="64">
        <f t="shared" si="20"/>
        <v>5.5129870129869971</v>
      </c>
      <c r="I38" s="60">
        <f t="shared" si="21"/>
        <v>2.5206341666171771E-2</v>
      </c>
      <c r="J38" s="65">
        <f t="shared" si="14"/>
        <v>460.14285714285717</v>
      </c>
      <c r="K38" s="68">
        <f t="shared" si="15"/>
        <v>471.90909090909093</v>
      </c>
      <c r="L38" s="64">
        <f t="shared" si="22"/>
        <v>11.766233766233768</v>
      </c>
      <c r="M38" s="60">
        <f t="shared" si="23"/>
        <v>2.557082780615845E-2</v>
      </c>
      <c r="N38" s="65">
        <f t="shared" si="16"/>
        <v>1028.7142857142858</v>
      </c>
      <c r="O38" s="68">
        <f t="shared" si="17"/>
        <v>1026.8636363636363</v>
      </c>
      <c r="P38" s="64">
        <f t="shared" si="24"/>
        <v>-1.850649350649519</v>
      </c>
      <c r="Q38" s="60">
        <f t="shared" si="25"/>
        <v>-1.7989925641642317E-3</v>
      </c>
      <c r="R38" s="100">
        <v>21</v>
      </c>
      <c r="S38" s="56">
        <v>22</v>
      </c>
      <c r="T38" s="77">
        <f t="shared" si="26"/>
        <v>21</v>
      </c>
      <c r="U38" s="77">
        <f t="shared" si="26"/>
        <v>22</v>
      </c>
    </row>
    <row r="39" spans="1:21" ht="11.25" customHeight="1" x14ac:dyDescent="0.2">
      <c r="A39" s="41" t="s">
        <v>14</v>
      </c>
      <c r="B39" s="66">
        <f t="shared" si="10"/>
        <v>355.09090909090907</v>
      </c>
      <c r="C39" s="69">
        <f t="shared" si="11"/>
        <v>376.28571428571428</v>
      </c>
      <c r="D39" s="71">
        <f t="shared" si="18"/>
        <v>21.194805194805213</v>
      </c>
      <c r="E39" s="61">
        <f t="shared" si="19"/>
        <v>5.968839148562656E-2</v>
      </c>
      <c r="F39" s="66">
        <f t="shared" si="12"/>
        <v>248.31818181818181</v>
      </c>
      <c r="G39" s="69">
        <f t="shared" si="13"/>
        <v>272.1904761904762</v>
      </c>
      <c r="H39" s="71">
        <f t="shared" si="20"/>
        <v>23.872294372294391</v>
      </c>
      <c r="I39" s="61">
        <f t="shared" si="21"/>
        <v>9.6135909974460296E-2</v>
      </c>
      <c r="J39" s="66">
        <f t="shared" si="14"/>
        <v>500.27272727272725</v>
      </c>
      <c r="K39" s="69">
        <f t="shared" si="15"/>
        <v>508.14285714285717</v>
      </c>
      <c r="L39" s="71">
        <f t="shared" si="22"/>
        <v>7.8701298701299152</v>
      </c>
      <c r="M39" s="61">
        <f t="shared" si="23"/>
        <v>1.5731678824537357E-2</v>
      </c>
      <c r="N39" s="66">
        <f t="shared" si="16"/>
        <v>1103.6818181818182</v>
      </c>
      <c r="O39" s="69">
        <f t="shared" si="17"/>
        <v>1156.6190476190477</v>
      </c>
      <c r="P39" s="71">
        <f t="shared" si="24"/>
        <v>52.937229437229462</v>
      </c>
      <c r="Q39" s="61">
        <f t="shared" si="25"/>
        <v>4.7964212660889093E-2</v>
      </c>
      <c r="R39" s="85">
        <v>22</v>
      </c>
      <c r="S39" s="85">
        <v>21</v>
      </c>
      <c r="T39" s="77">
        <f t="shared" si="26"/>
        <v>22</v>
      </c>
      <c r="U39" s="77">
        <f t="shared" si="26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64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64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64" t="str">
        <f t="shared" si="24"/>
        <v/>
      </c>
      <c r="Q40" s="60" t="str">
        <f t="shared" si="25"/>
        <v/>
      </c>
      <c r="R40" s="100">
        <v>22</v>
      </c>
      <c r="S40" s="56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64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64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64" t="str">
        <f t="shared" si="24"/>
        <v/>
      </c>
      <c r="Q41" s="60" t="str">
        <f t="shared" si="25"/>
        <v/>
      </c>
      <c r="R41" s="100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8"/>
        <v/>
      </c>
      <c r="E42" s="60" t="str">
        <f t="shared" si="19"/>
        <v/>
      </c>
      <c r="F42" s="65" t="str">
        <f t="shared" si="12"/>
        <v/>
      </c>
      <c r="G42" s="68" t="str">
        <f t="shared" si="13"/>
        <v/>
      </c>
      <c r="H42" s="64" t="str">
        <f t="shared" si="20"/>
        <v/>
      </c>
      <c r="I42" s="60" t="str">
        <f t="shared" si="21"/>
        <v/>
      </c>
      <c r="J42" s="65" t="str">
        <f t="shared" si="14"/>
        <v/>
      </c>
      <c r="K42" s="68" t="str">
        <f t="shared" si="15"/>
        <v/>
      </c>
      <c r="L42" s="64" t="str">
        <f t="shared" si="22"/>
        <v/>
      </c>
      <c r="M42" s="60" t="str">
        <f t="shared" si="23"/>
        <v/>
      </c>
      <c r="N42" s="65" t="str">
        <f t="shared" si="16"/>
        <v/>
      </c>
      <c r="O42" s="68" t="str">
        <f t="shared" si="17"/>
        <v/>
      </c>
      <c r="P42" s="64" t="str">
        <f t="shared" si="24"/>
        <v/>
      </c>
      <c r="Q42" s="60" t="str">
        <f t="shared" si="25"/>
        <v/>
      </c>
      <c r="R42" s="101">
        <v>22</v>
      </c>
      <c r="S42" s="56">
        <v>19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40" t="s">
        <v>29</v>
      </c>
      <c r="B43" s="67">
        <f>IF(B23=0,"",SUM(B31:B42)/B44)</f>
        <v>364.6896267715108</v>
      </c>
      <c r="C43" s="70">
        <f>IF(OR(C23=0,C23=""),"",SUM(C31:C42)/C44)</f>
        <v>366.43808756997163</v>
      </c>
      <c r="D43" s="62">
        <f>IF(B23=0,"",AVERAGE(D31:D42))</f>
        <v>1.7484607984608072</v>
      </c>
      <c r="E43" s="54">
        <f>IF(B23=0,"",AVERAGE(E31:E42))</f>
        <v>5.8538952624803383E-3</v>
      </c>
      <c r="F43" s="67">
        <f>IF(F23=0,"",SUM(F31:F42)/F44)</f>
        <v>240.13984844999337</v>
      </c>
      <c r="G43" s="70">
        <f>IF(OR(G23=0,G23=""),"",SUM(G31:G42)/G44)</f>
        <v>252.94986755059219</v>
      </c>
      <c r="H43" s="62">
        <f>IF(F23=0,"",AVERAGE(H31:H42))</f>
        <v>12.810019100598813</v>
      </c>
      <c r="I43" s="54">
        <f>IF(F23=0,"",AVERAGE(I31:I42))</f>
        <v>5.4161299124298505E-2</v>
      </c>
      <c r="J43" s="67">
        <f>IF(J23=0,"",SUM(J31:J42)/J44)</f>
        <v>477.89047793323152</v>
      </c>
      <c r="K43" s="70">
        <f>IF(OR(K23=0,K23=""),"",SUM(K31:K42)/K44)</f>
        <v>479.51923548807605</v>
      </c>
      <c r="L43" s="62">
        <f>IF(J23=0,"",AVERAGE(L31:L42))</f>
        <v>1.6287575548445261</v>
      </c>
      <c r="M43" s="54">
        <f>IF(J23=0,"",AVERAGE(M31:M42))</f>
        <v>9.8951366966343809E-3</v>
      </c>
      <c r="N43" s="67">
        <f>IF(N23=0,"",SUM(N31:N42)/N44)</f>
        <v>1082.7199531547358</v>
      </c>
      <c r="O43" s="70">
        <f>IF(OR(O23=0,O23=""),"",SUM(O31:O42)/O44)</f>
        <v>1098.9071906086401</v>
      </c>
      <c r="P43" s="62">
        <f>IF(N23=0,"",AVERAGE(P31:P42))</f>
        <v>16.187237453904103</v>
      </c>
      <c r="Q43" s="54">
        <f>IF(N23=0,"",AVERAGE(Q31:Q42))</f>
        <v>1.7717506953989347E-2</v>
      </c>
      <c r="R43" s="86">
        <f>SUM(R31:R42)</f>
        <v>254</v>
      </c>
      <c r="S43" s="86">
        <f>SUM(S31:S42)</f>
        <v>253</v>
      </c>
      <c r="T43" s="77">
        <f>SUM(T31:T42)</f>
        <v>189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09">
        <f>COUNTIF(B31:B42,"&gt;0")</f>
        <v>9</v>
      </c>
      <c r="C44" s="109">
        <f>COUNTIF(C31:C42,"&gt;0")</f>
        <v>9</v>
      </c>
      <c r="D44" s="110"/>
      <c r="E44" s="111"/>
      <c r="F44" s="109">
        <f>COUNTIF(F31:F42,"&gt;0")</f>
        <v>9</v>
      </c>
      <c r="G44" s="109">
        <f>COUNTIF(G31:G42,"&gt;0")</f>
        <v>9</v>
      </c>
      <c r="H44" s="110"/>
      <c r="I44" s="111"/>
      <c r="J44" s="109">
        <f>COUNTIF(J31:J42,"&gt;0")</f>
        <v>9</v>
      </c>
      <c r="K44" s="109">
        <f>COUNTIF(K31:K42,"&gt;0")</f>
        <v>9</v>
      </c>
      <c r="L44" s="110"/>
      <c r="M44" s="111"/>
      <c r="N44" s="109">
        <f>COUNTIF(N31:N42,"&gt;0")</f>
        <v>9</v>
      </c>
      <c r="O44" s="109">
        <f>COUNTIF(O31:O42,"&gt;0")</f>
        <v>9</v>
      </c>
      <c r="P44" s="110"/>
      <c r="Q44" s="111"/>
      <c r="R44" s="112"/>
      <c r="S44" s="112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GPiV9Osc3J8KJ62Jsfyr4yt8FL0s7xa7HkY7pbBP0hp9QcKgMIFeQJ8vl9mTrNvZCCWesdyiGq78fVOti94Zaw==" saltValue="aEpWYorWo0dwPm38koak/A==" spinCount="100000" sheet="1" objects="1" scenarios="1" selectLockedCells="1" selectUnlockedCells="1"/>
  <mergeCells count="22">
    <mergeCell ref="R30:S30"/>
    <mergeCell ref="P29:Q29"/>
    <mergeCell ref="B28:E28"/>
    <mergeCell ref="F28:I28"/>
    <mergeCell ref="J28:M28"/>
    <mergeCell ref="D29:E29"/>
    <mergeCell ref="H29:I29"/>
    <mergeCell ref="L29:M29"/>
    <mergeCell ref="N28:Q28"/>
    <mergeCell ref="B26:E27"/>
    <mergeCell ref="P9:Q9"/>
    <mergeCell ref="L9:M9"/>
    <mergeCell ref="D9:E9"/>
    <mergeCell ref="H9:I9"/>
    <mergeCell ref="J8:M8"/>
    <mergeCell ref="N8:Q8"/>
    <mergeCell ref="B2:E2"/>
    <mergeCell ref="D3:E3"/>
    <mergeCell ref="B3:C3"/>
    <mergeCell ref="B6:E7"/>
    <mergeCell ref="B8:E8"/>
    <mergeCell ref="F8:I8"/>
  </mergeCells>
  <phoneticPr fontId="0" type="noConversion"/>
  <conditionalFormatting sqref="N18:N21 N13:N16">
    <cfRule type="expression" dxfId="31" priority="9" stopIfTrue="1">
      <formula>O13=""</formula>
    </cfRule>
  </conditionalFormatting>
  <conditionalFormatting sqref="N22 N17 N12">
    <cfRule type="expression" dxfId="30" priority="10" stopIfTrue="1">
      <formula>O12=""</formula>
    </cfRule>
  </conditionalFormatting>
  <conditionalFormatting sqref="R43:S43">
    <cfRule type="expression" dxfId="29" priority="11" stopIfTrue="1">
      <formula>R43&lt;$R43</formula>
    </cfRule>
    <cfRule type="expression" dxfId="28" priority="12" stopIfTrue="1">
      <formula>R43&gt;$R43</formula>
    </cfRule>
  </conditionalFormatting>
  <conditionalFormatting sqref="R31:R42">
    <cfRule type="expression" dxfId="27" priority="3" stopIfTrue="1">
      <formula>R31&lt;$R31</formula>
    </cfRule>
    <cfRule type="expression" dxfId="26" priority="4" stopIfTrue="1">
      <formula>R31&gt;$R31</formula>
    </cfRule>
  </conditionalFormatting>
  <conditionalFormatting sqref="S31:S42">
    <cfRule type="expression" dxfId="25" priority="1" stopIfTrue="1">
      <formula>S31&lt;$R31</formula>
    </cfRule>
    <cfRule type="expression" dxfId="24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0"/>
  <sheetViews>
    <sheetView showGridLines="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3.1" customHeight="1" x14ac:dyDescent="0.2"/>
    <row r="2" spans="1:17" ht="16.5" customHeight="1" x14ac:dyDescent="0.2">
      <c r="A2" s="95" t="s">
        <v>27</v>
      </c>
      <c r="B2" s="125" t="s">
        <v>34</v>
      </c>
      <c r="C2" s="125"/>
      <c r="D2" s="125"/>
      <c r="E2" s="125"/>
      <c r="Q2" s="79"/>
    </row>
    <row r="3" spans="1:17" ht="13.5" customHeight="1" x14ac:dyDescent="0.2">
      <c r="A3" s="1"/>
      <c r="B3" s="126" t="s">
        <v>20</v>
      </c>
      <c r="C3" s="126"/>
      <c r="D3" s="127" t="s">
        <v>19</v>
      </c>
      <c r="E3" s="127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</row>
    <row r="6" spans="1:17" ht="11.25" customHeight="1" x14ac:dyDescent="0.2">
      <c r="A6" s="7"/>
      <c r="B6" s="117" t="s">
        <v>30</v>
      </c>
      <c r="C6" s="118"/>
      <c r="D6" s="118"/>
      <c r="E6" s="118"/>
      <c r="F6" s="9"/>
    </row>
    <row r="7" spans="1:17" ht="11.25" customHeight="1" thickBot="1" x14ac:dyDescent="0.25">
      <c r="B7" s="119"/>
      <c r="C7" s="119"/>
      <c r="D7" s="119"/>
      <c r="E7" s="119"/>
    </row>
    <row r="8" spans="1:17" s="9" customFormat="1" ht="11.25" customHeight="1" thickBot="1" x14ac:dyDescent="0.25">
      <c r="A8" s="8" t="s">
        <v>4</v>
      </c>
      <c r="B8" s="136" t="s">
        <v>0</v>
      </c>
      <c r="C8" s="137"/>
      <c r="D8" s="137"/>
      <c r="E8" s="138"/>
      <c r="F8" s="122" t="s">
        <v>1</v>
      </c>
      <c r="G8" s="123"/>
      <c r="H8" s="123"/>
      <c r="I8" s="124"/>
      <c r="J8" s="128" t="s">
        <v>2</v>
      </c>
      <c r="K8" s="129"/>
      <c r="L8" s="129"/>
      <c r="M8" s="129"/>
      <c r="N8" s="130" t="s">
        <v>3</v>
      </c>
      <c r="O8" s="131"/>
      <c r="P8" s="131"/>
      <c r="Q8" s="132"/>
    </row>
    <row r="9" spans="1:17" s="9" customFormat="1" ht="11.25" customHeight="1" x14ac:dyDescent="0.2">
      <c r="A9" s="10"/>
      <c r="B9" s="45">
        <f>'BON-NS'!B9</f>
        <v>2016</v>
      </c>
      <c r="C9" s="46">
        <f>'BON-NS'!C9</f>
        <v>2017</v>
      </c>
      <c r="D9" s="120" t="s">
        <v>5</v>
      </c>
      <c r="E9" s="121"/>
      <c r="F9" s="45">
        <f>$B$9</f>
        <v>2016</v>
      </c>
      <c r="G9" s="46">
        <f>$C$9</f>
        <v>2017</v>
      </c>
      <c r="H9" s="120" t="s">
        <v>5</v>
      </c>
      <c r="I9" s="121"/>
      <c r="J9" s="45">
        <f>$B$9</f>
        <v>2016</v>
      </c>
      <c r="K9" s="46">
        <f>$C$9</f>
        <v>2017</v>
      </c>
      <c r="L9" s="120" t="s">
        <v>5</v>
      </c>
      <c r="M9" s="133"/>
      <c r="N9" s="45">
        <f>$B$9</f>
        <v>2016</v>
      </c>
      <c r="O9" s="46">
        <f>$C$9</f>
        <v>2017</v>
      </c>
      <c r="P9" s="120" t="s">
        <v>5</v>
      </c>
      <c r="Q9" s="121"/>
    </row>
    <row r="10" spans="1:17" s="9" customFormat="1" ht="11.25" customHeight="1" x14ac:dyDescent="0.2">
      <c r="A10" s="74" t="s">
        <v>24</v>
      </c>
      <c r="B10" s="11">
        <f>$R$43</f>
        <v>254</v>
      </c>
      <c r="C10" s="12">
        <f>$S$43</f>
        <v>253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96">
        <f>SUM('BON-NS'!B11,'BSL-NS'!B11,'BWA-NS'!B11,'RFA-NS'!B11)</f>
        <v>36675</v>
      </c>
      <c r="C11" s="42">
        <f>IF('BON-NS'!C11="","",SUM('BON-NS'!C11,'BSL-NS'!C11,'BWA-NS'!C11,'RFA-NS'!C11))</f>
        <v>38734</v>
      </c>
      <c r="D11" s="21">
        <f t="shared" ref="D11:D22" si="0">IF(C11="","",C11-B11)</f>
        <v>2059</v>
      </c>
      <c r="E11" s="58">
        <f t="shared" ref="E11:E23" si="1">IF(D11="","",D11/B11)</f>
        <v>5.6141785957736876E-2</v>
      </c>
      <c r="F11" s="33">
        <f>SUM('BON-NS'!F11,'BSL-NS'!F11,'BWA-NS'!F11,'RFA-NS'!F11)</f>
        <v>33338</v>
      </c>
      <c r="G11" s="42">
        <f>IF('BON-NS'!G11="","",SUM('BON-NS'!G11,'BSL-NS'!G11,'BWA-NS'!G11,'RFA-NS'!G11))</f>
        <v>33795</v>
      </c>
      <c r="H11" s="21">
        <f t="shared" ref="H11:H22" si="2">IF(G11="","",G11-F11)</f>
        <v>457</v>
      </c>
      <c r="I11" s="58">
        <f t="shared" ref="I11:I23" si="3">IF(H11="","",H11/F11)</f>
        <v>1.3708080868678385E-2</v>
      </c>
      <c r="J11" s="33">
        <f>SUM('BON-NS'!J11,'BSL-NS'!J11,'BWA-NS'!J11,'RFA-NS'!J11)</f>
        <v>5631</v>
      </c>
      <c r="K11" s="42">
        <f>IF('BON-NS'!K11="","",SUM('BON-NS'!K11,'BSL-NS'!K11,'BWA-NS'!K11,'RFA-NS'!K11))</f>
        <v>6322</v>
      </c>
      <c r="L11" s="21">
        <f t="shared" ref="L11:L22" si="4">IF(K11="","",K11-J11)</f>
        <v>691</v>
      </c>
      <c r="M11" s="58">
        <f t="shared" ref="M11:M23" si="5">IF(L11="","",L11/J11)</f>
        <v>0.12271354999112058</v>
      </c>
      <c r="N11" s="33">
        <f>SUM(B11,F11,J11)</f>
        <v>75644</v>
      </c>
      <c r="O11" s="30">
        <f t="shared" ref="O11:O22" si="6">IF(C11="","",SUM(C11,G11,K11))</f>
        <v>78851</v>
      </c>
      <c r="P11" s="21">
        <f t="shared" ref="P11:P22" si="7">IF(O11="","",O11-N11)</f>
        <v>3207</v>
      </c>
      <c r="Q11" s="58">
        <f t="shared" ref="Q11:Q23" si="8">IF(P11="","",P11/N11)</f>
        <v>4.2395960023266885E-2</v>
      </c>
    </row>
    <row r="12" spans="1:17" ht="11.25" customHeight="1" x14ac:dyDescent="0.2">
      <c r="A12" s="20" t="s">
        <v>7</v>
      </c>
      <c r="B12" s="96">
        <f>SUM('BON-NS'!B12,'BSL-NS'!B12,'BWA-NS'!B12,'RFA-NS'!B12)</f>
        <v>42898</v>
      </c>
      <c r="C12" s="42">
        <f>IF('BON-NS'!C12="","",SUM('BON-NS'!C12,'BSL-NS'!C12,'BWA-NS'!C12,'RFA-NS'!C12))</f>
        <v>40756</v>
      </c>
      <c r="D12" s="21">
        <f t="shared" si="0"/>
        <v>-2142</v>
      </c>
      <c r="E12" s="58">
        <f t="shared" si="1"/>
        <v>-4.9932397780782324E-2</v>
      </c>
      <c r="F12" s="33">
        <f>SUM('BON-NS'!F12,'BSL-NS'!F12,'BWA-NS'!F12,'RFA-NS'!F12)</f>
        <v>38339</v>
      </c>
      <c r="G12" s="42">
        <f>IF('BON-NS'!G12="","",SUM('BON-NS'!G12,'BSL-NS'!G12,'BWA-NS'!G12,'RFA-NS'!G12))</f>
        <v>36341</v>
      </c>
      <c r="H12" s="21">
        <f t="shared" si="2"/>
        <v>-1998</v>
      </c>
      <c r="I12" s="58">
        <f t="shared" si="3"/>
        <v>-5.2114035316518426E-2</v>
      </c>
      <c r="J12" s="33">
        <f>SUM('BON-NS'!J12,'BSL-NS'!J12,'BWA-NS'!J12,'RFA-NS'!J12)</f>
        <v>6172</v>
      </c>
      <c r="K12" s="42">
        <f>IF('BON-NS'!K12="","",SUM('BON-NS'!K12,'BSL-NS'!K12,'BWA-NS'!K12,'RFA-NS'!K12))</f>
        <v>5303</v>
      </c>
      <c r="L12" s="21">
        <f t="shared" si="4"/>
        <v>-869</v>
      </c>
      <c r="M12" s="58">
        <f t="shared" si="5"/>
        <v>-0.14079714841218405</v>
      </c>
      <c r="N12" s="33">
        <f t="shared" ref="N12:N22" si="9">SUM(B12,F12,J12)</f>
        <v>87409</v>
      </c>
      <c r="O12" s="30">
        <f t="shared" si="6"/>
        <v>82400</v>
      </c>
      <c r="P12" s="21">
        <f t="shared" si="7"/>
        <v>-5009</v>
      </c>
      <c r="Q12" s="58">
        <f t="shared" si="8"/>
        <v>-5.7305311809996685E-2</v>
      </c>
    </row>
    <row r="13" spans="1:17" ht="11.25" customHeight="1" x14ac:dyDescent="0.2">
      <c r="A13" s="20" t="s">
        <v>8</v>
      </c>
      <c r="B13" s="97">
        <f>SUM('BON-NS'!B13,'BSL-NS'!B13,'BWA-NS'!B13,'RFA-NS'!B13)</f>
        <v>46170</v>
      </c>
      <c r="C13" s="43">
        <f>IF('BON-NS'!C13="","",SUM('BON-NS'!C13,'BSL-NS'!C13,'BWA-NS'!C13,'RFA-NS'!C13))</f>
        <v>49711</v>
      </c>
      <c r="D13" s="22">
        <f t="shared" si="0"/>
        <v>3541</v>
      </c>
      <c r="E13" s="59">
        <f t="shared" si="1"/>
        <v>7.6694823478449206E-2</v>
      </c>
      <c r="F13" s="35">
        <f>SUM('BON-NS'!F13,'BSL-NS'!F13,'BWA-NS'!F13,'RFA-NS'!F13)</f>
        <v>38783</v>
      </c>
      <c r="G13" s="43">
        <f>IF('BON-NS'!G13="","",SUM('BON-NS'!G13,'BSL-NS'!G13,'BWA-NS'!G13,'RFA-NS'!G13))</f>
        <v>42111</v>
      </c>
      <c r="H13" s="22">
        <f t="shared" si="2"/>
        <v>3328</v>
      </c>
      <c r="I13" s="59">
        <f t="shared" si="3"/>
        <v>8.5810793388855944E-2</v>
      </c>
      <c r="J13" s="35">
        <f>SUM('BON-NS'!J13,'BSL-NS'!J13,'BWA-NS'!J13,'RFA-NS'!J13)</f>
        <v>6540</v>
      </c>
      <c r="K13" s="43">
        <f>IF('BON-NS'!K13="","",SUM('BON-NS'!K13,'BSL-NS'!K13,'BWA-NS'!K13,'RFA-NS'!K13))</f>
        <v>5994</v>
      </c>
      <c r="L13" s="22">
        <f t="shared" si="4"/>
        <v>-546</v>
      </c>
      <c r="M13" s="59">
        <f t="shared" si="5"/>
        <v>-8.3486238532110096E-2</v>
      </c>
      <c r="N13" s="35">
        <f t="shared" si="9"/>
        <v>91493</v>
      </c>
      <c r="O13" s="31">
        <f t="shared" si="6"/>
        <v>97816</v>
      </c>
      <c r="P13" s="22">
        <f t="shared" si="7"/>
        <v>6323</v>
      </c>
      <c r="Q13" s="59">
        <f t="shared" si="8"/>
        <v>6.9109112172515932E-2</v>
      </c>
    </row>
    <row r="14" spans="1:17" ht="11.25" customHeight="1" x14ac:dyDescent="0.2">
      <c r="A14" s="20" t="s">
        <v>9</v>
      </c>
      <c r="B14" s="96">
        <f>SUM('BON-NS'!B14,'BSL-NS'!B14,'BWA-NS'!B14,'RFA-NS'!B14)</f>
        <v>45888</v>
      </c>
      <c r="C14" s="42">
        <f>IF('BON-NS'!C14="","",SUM('BON-NS'!C14,'BSL-NS'!C14,'BWA-NS'!C14,'RFA-NS'!C14))</f>
        <v>40837</v>
      </c>
      <c r="D14" s="21">
        <f t="shared" si="0"/>
        <v>-5051</v>
      </c>
      <c r="E14" s="58">
        <f t="shared" si="1"/>
        <v>-0.11007235006973501</v>
      </c>
      <c r="F14" s="33">
        <f>SUM('BON-NS'!F14,'BSL-NS'!F14,'BWA-NS'!F14,'RFA-NS'!F14)</f>
        <v>37864</v>
      </c>
      <c r="G14" s="42">
        <f>IF('BON-NS'!G14="","",SUM('BON-NS'!G14,'BSL-NS'!G14,'BWA-NS'!G14,'RFA-NS'!G14))</f>
        <v>32663</v>
      </c>
      <c r="H14" s="21">
        <f t="shared" si="2"/>
        <v>-5201</v>
      </c>
      <c r="I14" s="58">
        <f t="shared" si="3"/>
        <v>-0.13736002535389816</v>
      </c>
      <c r="J14" s="33">
        <f>SUM('BON-NS'!J14,'BSL-NS'!J14,'BWA-NS'!J14,'RFA-NS'!J14)</f>
        <v>5889</v>
      </c>
      <c r="K14" s="42">
        <f>IF('BON-NS'!K14="","",SUM('BON-NS'!K14,'BSL-NS'!K14,'BWA-NS'!K14,'RFA-NS'!K14))</f>
        <v>5157</v>
      </c>
      <c r="L14" s="21">
        <f t="shared" si="4"/>
        <v>-732</v>
      </c>
      <c r="M14" s="58">
        <f t="shared" si="5"/>
        <v>-0.12429954151808456</v>
      </c>
      <c r="N14" s="33">
        <f t="shared" si="9"/>
        <v>89641</v>
      </c>
      <c r="O14" s="30">
        <f t="shared" si="6"/>
        <v>78657</v>
      </c>
      <c r="P14" s="21">
        <f t="shared" si="7"/>
        <v>-10984</v>
      </c>
      <c r="Q14" s="58">
        <f t="shared" si="8"/>
        <v>-0.1225332158275789</v>
      </c>
    </row>
    <row r="15" spans="1:17" ht="11.25" customHeight="1" x14ac:dyDescent="0.2">
      <c r="A15" s="20" t="s">
        <v>10</v>
      </c>
      <c r="B15" s="96">
        <f>SUM('BON-NS'!B15,'BSL-NS'!B15,'BWA-NS'!B15,'RFA-NS'!B15)</f>
        <v>42508</v>
      </c>
      <c r="C15" s="42">
        <f>IF('BON-NS'!C15="","",SUM('BON-NS'!C15,'BSL-NS'!C15,'BWA-NS'!C15,'RFA-NS'!C15))</f>
        <v>47019</v>
      </c>
      <c r="D15" s="21">
        <f t="shared" si="0"/>
        <v>4511</v>
      </c>
      <c r="E15" s="58">
        <f t="shared" si="1"/>
        <v>0.1061212007151595</v>
      </c>
      <c r="F15" s="33">
        <f>SUM('BON-NS'!F15,'BSL-NS'!F15,'BWA-NS'!F15,'RFA-NS'!F15)</f>
        <v>35788</v>
      </c>
      <c r="G15" s="42">
        <f>IF('BON-NS'!G15="","",SUM('BON-NS'!G15,'BSL-NS'!G15,'BWA-NS'!G15,'RFA-NS'!G15))</f>
        <v>38286</v>
      </c>
      <c r="H15" s="21">
        <f t="shared" si="2"/>
        <v>2498</v>
      </c>
      <c r="I15" s="58">
        <f t="shared" si="3"/>
        <v>6.9799932938415105E-2</v>
      </c>
      <c r="J15" s="33">
        <f>SUM('BON-NS'!J15,'BSL-NS'!J15,'BWA-NS'!J15,'RFA-NS'!J15)</f>
        <v>5165</v>
      </c>
      <c r="K15" s="42">
        <f>IF('BON-NS'!K15="","",SUM('BON-NS'!K15,'BSL-NS'!K15,'BWA-NS'!K15,'RFA-NS'!K15))</f>
        <v>4834</v>
      </c>
      <c r="L15" s="21">
        <f t="shared" si="4"/>
        <v>-331</v>
      </c>
      <c r="M15" s="58">
        <f t="shared" si="5"/>
        <v>-6.408518877057115E-2</v>
      </c>
      <c r="N15" s="33">
        <f t="shared" si="9"/>
        <v>83461</v>
      </c>
      <c r="O15" s="30">
        <f t="shared" si="6"/>
        <v>90139</v>
      </c>
      <c r="P15" s="21">
        <f t="shared" si="7"/>
        <v>6678</v>
      </c>
      <c r="Q15" s="58">
        <f t="shared" si="8"/>
        <v>8.0013419441415753E-2</v>
      </c>
    </row>
    <row r="16" spans="1:17" ht="11.25" customHeight="1" x14ac:dyDescent="0.2">
      <c r="A16" s="20" t="s">
        <v>11</v>
      </c>
      <c r="B16" s="97">
        <f>SUM('BON-NS'!B16,'BSL-NS'!B16,'BWA-NS'!B16,'RFA-NS'!B16)</f>
        <v>48566</v>
      </c>
      <c r="C16" s="43">
        <f>IF('BON-NS'!C16="","",SUM('BON-NS'!C16,'BSL-NS'!C16,'BWA-NS'!C16,'RFA-NS'!C16))</f>
        <v>45884</v>
      </c>
      <c r="D16" s="22">
        <f t="shared" si="0"/>
        <v>-2682</v>
      </c>
      <c r="E16" s="59">
        <f t="shared" si="1"/>
        <v>-5.5223819132726601E-2</v>
      </c>
      <c r="F16" s="35">
        <f>SUM('BON-NS'!F16,'BSL-NS'!F16,'BWA-NS'!F16,'RFA-NS'!F16)</f>
        <v>37524</v>
      </c>
      <c r="G16" s="43">
        <f>IF('BON-NS'!G16="","",SUM('BON-NS'!G16,'BSL-NS'!G16,'BWA-NS'!G16,'RFA-NS'!G16))</f>
        <v>36990</v>
      </c>
      <c r="H16" s="22">
        <f t="shared" si="2"/>
        <v>-534</v>
      </c>
      <c r="I16" s="59">
        <f t="shared" si="3"/>
        <v>-1.4230892228973457E-2</v>
      </c>
      <c r="J16" s="35">
        <f>SUM('BON-NS'!J16,'BSL-NS'!J16,'BWA-NS'!J16,'RFA-NS'!J16)</f>
        <v>6253</v>
      </c>
      <c r="K16" s="43">
        <f>IF('BON-NS'!K16="","",SUM('BON-NS'!K16,'BSL-NS'!K16,'BWA-NS'!K16,'RFA-NS'!K16))</f>
        <v>4668</v>
      </c>
      <c r="L16" s="22">
        <f t="shared" si="4"/>
        <v>-1585</v>
      </c>
      <c r="M16" s="59">
        <f t="shared" si="5"/>
        <v>-0.25347833040140733</v>
      </c>
      <c r="N16" s="35">
        <f t="shared" si="9"/>
        <v>92343</v>
      </c>
      <c r="O16" s="31">
        <f t="shared" si="6"/>
        <v>87542</v>
      </c>
      <c r="P16" s="22">
        <f t="shared" si="7"/>
        <v>-4801</v>
      </c>
      <c r="Q16" s="59">
        <f t="shared" si="8"/>
        <v>-5.1990946796183796E-2</v>
      </c>
    </row>
    <row r="17" spans="1:21" ht="11.25" customHeight="1" x14ac:dyDescent="0.2">
      <c r="A17" s="20" t="s">
        <v>12</v>
      </c>
      <c r="B17" s="96">
        <f>SUM('BON-NS'!B17,'BSL-NS'!B17,'BWA-NS'!B17,'RFA-NS'!B17)</f>
        <v>41371</v>
      </c>
      <c r="C17" s="42">
        <f>IF('BON-NS'!C17="","",SUM('BON-NS'!C17,'BSL-NS'!C17,'BWA-NS'!C17,'RFA-NS'!C17))</f>
        <v>43124</v>
      </c>
      <c r="D17" s="21">
        <f t="shared" si="0"/>
        <v>1753</v>
      </c>
      <c r="E17" s="58">
        <f t="shared" si="1"/>
        <v>4.2372676512532931E-2</v>
      </c>
      <c r="F17" s="33">
        <f>SUM('BON-NS'!F17,'BSL-NS'!F17,'BWA-NS'!F17,'RFA-NS'!F17)</f>
        <v>33718</v>
      </c>
      <c r="G17" s="42">
        <f>IF('BON-NS'!G17="","",SUM('BON-NS'!G17,'BSL-NS'!G17,'BWA-NS'!G17,'RFA-NS'!G17))</f>
        <v>35070</v>
      </c>
      <c r="H17" s="21">
        <f t="shared" si="2"/>
        <v>1352</v>
      </c>
      <c r="I17" s="58">
        <f t="shared" si="3"/>
        <v>4.0097277418589476E-2</v>
      </c>
      <c r="J17" s="33">
        <f>SUM('BON-NS'!J17,'BSL-NS'!J17,'BWA-NS'!J17,'RFA-NS'!J17)</f>
        <v>6037</v>
      </c>
      <c r="K17" s="42">
        <f>IF('BON-NS'!K17="","",SUM('BON-NS'!K17,'BSL-NS'!K17,'BWA-NS'!K17,'RFA-NS'!K17))</f>
        <v>4838</v>
      </c>
      <c r="L17" s="21">
        <f t="shared" si="4"/>
        <v>-1199</v>
      </c>
      <c r="M17" s="58">
        <f t="shared" si="5"/>
        <v>-0.19860858042073878</v>
      </c>
      <c r="N17" s="33">
        <f t="shared" si="9"/>
        <v>81126</v>
      </c>
      <c r="O17" s="30">
        <f t="shared" si="6"/>
        <v>83032</v>
      </c>
      <c r="P17" s="21">
        <f t="shared" si="7"/>
        <v>1906</v>
      </c>
      <c r="Q17" s="58">
        <f t="shared" si="8"/>
        <v>2.3494317481448611E-2</v>
      </c>
    </row>
    <row r="18" spans="1:21" ht="11.25" customHeight="1" x14ac:dyDescent="0.2">
      <c r="A18" s="20" t="s">
        <v>13</v>
      </c>
      <c r="B18" s="96">
        <f>SUM('BON-NS'!B18,'BSL-NS'!B18,'BWA-NS'!B18,'RFA-NS'!B18)</f>
        <v>41973</v>
      </c>
      <c r="C18" s="42">
        <f>IF('BON-NS'!C18="","",SUM('BON-NS'!C18,'BSL-NS'!C18,'BWA-NS'!C18,'RFA-NS'!C18))</f>
        <v>43504</v>
      </c>
      <c r="D18" s="21">
        <f t="shared" si="0"/>
        <v>1531</v>
      </c>
      <c r="E18" s="58">
        <f t="shared" si="1"/>
        <v>3.6475829700045266E-2</v>
      </c>
      <c r="F18" s="33">
        <f>SUM('BON-NS'!F18,'BSL-NS'!F18,'BWA-NS'!F18,'RFA-NS'!F18)</f>
        <v>30181</v>
      </c>
      <c r="G18" s="42">
        <f>IF('BON-NS'!G18="","",SUM('BON-NS'!G18,'BSL-NS'!G18,'BWA-NS'!G18,'RFA-NS'!G18))</f>
        <v>32719</v>
      </c>
      <c r="H18" s="21">
        <f t="shared" si="2"/>
        <v>2538</v>
      </c>
      <c r="I18" s="58">
        <f t="shared" si="3"/>
        <v>8.4092641065571058E-2</v>
      </c>
      <c r="J18" s="33">
        <f>SUM('BON-NS'!J18,'BSL-NS'!J18,'BWA-NS'!J18,'RFA-NS'!J18)</f>
        <v>5621</v>
      </c>
      <c r="K18" s="42">
        <f>IF('BON-NS'!K18="","",SUM('BON-NS'!K18,'BSL-NS'!K18,'BWA-NS'!K18,'RFA-NS'!K18))</f>
        <v>4952</v>
      </c>
      <c r="L18" s="21">
        <f t="shared" si="4"/>
        <v>-669</v>
      </c>
      <c r="M18" s="58">
        <f t="shared" si="5"/>
        <v>-0.11901796833303682</v>
      </c>
      <c r="N18" s="33">
        <f t="shared" si="9"/>
        <v>77775</v>
      </c>
      <c r="O18" s="30">
        <f t="shared" si="6"/>
        <v>81175</v>
      </c>
      <c r="P18" s="21">
        <f t="shared" si="7"/>
        <v>3400</v>
      </c>
      <c r="Q18" s="58">
        <f t="shared" si="8"/>
        <v>4.3715846994535519E-2</v>
      </c>
    </row>
    <row r="19" spans="1:21" ht="11.25" customHeight="1" x14ac:dyDescent="0.2">
      <c r="A19" s="20" t="s">
        <v>14</v>
      </c>
      <c r="B19" s="97">
        <f>SUM('BON-NS'!B19,'BSL-NS'!B19,'BWA-NS'!B19,'RFA-NS'!B19)</f>
        <v>45394</v>
      </c>
      <c r="C19" s="43">
        <f>IF('BON-NS'!C19="","",SUM('BON-NS'!C19,'BSL-NS'!C19,'BWA-NS'!C19,'RFA-NS'!C19))</f>
        <v>46893</v>
      </c>
      <c r="D19" s="22">
        <f t="shared" si="0"/>
        <v>1499</v>
      </c>
      <c r="E19" s="59">
        <f t="shared" si="1"/>
        <v>3.3021985284398821E-2</v>
      </c>
      <c r="F19" s="35">
        <f>SUM('BON-NS'!F19,'BSL-NS'!F19,'BWA-NS'!F19,'RFA-NS'!F19)</f>
        <v>36707</v>
      </c>
      <c r="G19" s="43">
        <f>IF('BON-NS'!G19="","",SUM('BON-NS'!G19,'BSL-NS'!G19,'BWA-NS'!G19,'RFA-NS'!G19))</f>
        <v>40618</v>
      </c>
      <c r="H19" s="22">
        <f t="shared" si="2"/>
        <v>3911</v>
      </c>
      <c r="I19" s="59">
        <f t="shared" si="3"/>
        <v>0.10654643528482306</v>
      </c>
      <c r="J19" s="35">
        <f>SUM('BON-NS'!J19,'BSL-NS'!J19,'BWA-NS'!J19,'RFA-NS'!J19)</f>
        <v>6205</v>
      </c>
      <c r="K19" s="43">
        <f>IF('BON-NS'!K19="","",SUM('BON-NS'!K19,'BSL-NS'!K19,'BWA-NS'!K19,'RFA-NS'!K19))</f>
        <v>4296</v>
      </c>
      <c r="L19" s="22">
        <f t="shared" si="4"/>
        <v>-1909</v>
      </c>
      <c r="M19" s="59">
        <f t="shared" si="5"/>
        <v>-0.30765511684125707</v>
      </c>
      <c r="N19" s="35">
        <f t="shared" si="9"/>
        <v>88306</v>
      </c>
      <c r="O19" s="31">
        <f t="shared" si="6"/>
        <v>91807</v>
      </c>
      <c r="P19" s="22">
        <f t="shared" si="7"/>
        <v>3501</v>
      </c>
      <c r="Q19" s="59">
        <f t="shared" si="8"/>
        <v>3.9646230154236406E-2</v>
      </c>
    </row>
    <row r="20" spans="1:21" ht="11.25" customHeight="1" x14ac:dyDescent="0.2">
      <c r="A20" s="20" t="s">
        <v>15</v>
      </c>
      <c r="B20" s="96">
        <f>SUM('BON-NS'!B20,'BSL-NS'!B20,'BWA-NS'!B20,'RFA-NS'!B20)</f>
        <v>43511</v>
      </c>
      <c r="C20" s="42" t="str">
        <f>IF('BON-NS'!C20="","",SUM('BON-NS'!C20,'BSL-NS'!C20,'BWA-NS'!C20,'RFA-NS'!C20))</f>
        <v/>
      </c>
      <c r="D20" s="21" t="str">
        <f t="shared" si="0"/>
        <v/>
      </c>
      <c r="E20" s="58" t="str">
        <f t="shared" si="1"/>
        <v/>
      </c>
      <c r="F20" s="33">
        <f>SUM('BON-NS'!F20,'BSL-NS'!F20,'BWA-NS'!F20,'RFA-NS'!F20)</f>
        <v>35839</v>
      </c>
      <c r="G20" s="42" t="str">
        <f>IF('BON-NS'!G20="","",SUM('BON-NS'!G20,'BSL-NS'!G20,'BWA-NS'!G20,'RFA-NS'!G20))</f>
        <v/>
      </c>
      <c r="H20" s="21" t="str">
        <f t="shared" si="2"/>
        <v/>
      </c>
      <c r="I20" s="58" t="str">
        <f t="shared" si="3"/>
        <v/>
      </c>
      <c r="J20" s="33">
        <f>SUM('BON-NS'!J20,'BSL-NS'!J20,'BWA-NS'!J20,'RFA-NS'!J20)</f>
        <v>5707</v>
      </c>
      <c r="K20" s="42" t="str">
        <f>IF('BON-NS'!K20="","",SUM('BON-NS'!K20,'BSL-NS'!K20,'BWA-NS'!K20,'RFA-NS'!K20))</f>
        <v/>
      </c>
      <c r="L20" s="21" t="str">
        <f t="shared" si="4"/>
        <v/>
      </c>
      <c r="M20" s="58" t="str">
        <f t="shared" si="5"/>
        <v/>
      </c>
      <c r="N20" s="33">
        <f t="shared" si="9"/>
        <v>85057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96">
        <f>SUM('BON-NS'!B21,'BSL-NS'!B21,'BWA-NS'!B21,'RFA-NS'!B21)</f>
        <v>45228</v>
      </c>
      <c r="C21" s="42" t="str">
        <f>IF('BON-NS'!C21="","",SUM('BON-NS'!C21,'BSL-NS'!C21,'BWA-NS'!C21,'RFA-NS'!C21))</f>
        <v/>
      </c>
      <c r="D21" s="21" t="str">
        <f t="shared" si="0"/>
        <v/>
      </c>
      <c r="E21" s="58" t="str">
        <f t="shared" si="1"/>
        <v/>
      </c>
      <c r="F21" s="33">
        <f>SUM('BON-NS'!F21,'BSL-NS'!F21,'BWA-NS'!F21,'RFA-NS'!F21)</f>
        <v>36927</v>
      </c>
      <c r="G21" s="42" t="str">
        <f>IF('BON-NS'!G21="","",SUM('BON-NS'!G21,'BSL-NS'!G21,'BWA-NS'!G21,'RFA-NS'!G21))</f>
        <v/>
      </c>
      <c r="H21" s="21" t="str">
        <f t="shared" si="2"/>
        <v/>
      </c>
      <c r="I21" s="58" t="str">
        <f t="shared" si="3"/>
        <v/>
      </c>
      <c r="J21" s="33">
        <f>SUM('BON-NS'!J21,'BSL-NS'!J21,'BWA-NS'!J21,'RFA-NS'!J21)</f>
        <v>5859</v>
      </c>
      <c r="K21" s="42" t="str">
        <f>IF('BON-NS'!K21="","",SUM('BON-NS'!K21,'BSL-NS'!K21,'BWA-NS'!K21,'RFA-NS'!K21))</f>
        <v/>
      </c>
      <c r="L21" s="21" t="str">
        <f t="shared" si="4"/>
        <v/>
      </c>
      <c r="M21" s="58" t="str">
        <f t="shared" si="5"/>
        <v/>
      </c>
      <c r="N21" s="33">
        <f t="shared" si="9"/>
        <v>88014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98">
        <f>SUM('BON-NS'!B22,'BSL-NS'!B22,'BWA-NS'!B22,'RFA-NS'!B22)</f>
        <v>36433</v>
      </c>
      <c r="C22" s="44" t="str">
        <f>IF('BON-NS'!C22="","",SUM('BON-NS'!C22,'BSL-NS'!C22,'BWA-NS'!C22,'RFA-NS'!C22))</f>
        <v/>
      </c>
      <c r="D22" s="21" t="str">
        <f t="shared" si="0"/>
        <v/>
      </c>
      <c r="E22" s="52" t="str">
        <f t="shared" si="1"/>
        <v/>
      </c>
      <c r="F22" s="34">
        <f>SUM('BON-NS'!F22,'BSL-NS'!F22,'BWA-NS'!F22,'RFA-NS'!F22)</f>
        <v>32115</v>
      </c>
      <c r="G22" s="44" t="str">
        <f>IF('BON-NS'!G22="","",SUM('BON-NS'!G22,'BSL-NS'!G22,'BWA-NS'!G22,'RFA-NS'!G22))</f>
        <v/>
      </c>
      <c r="H22" s="21" t="str">
        <f t="shared" si="2"/>
        <v/>
      </c>
      <c r="I22" s="52" t="str">
        <f t="shared" si="3"/>
        <v/>
      </c>
      <c r="J22" s="34">
        <f>SUM('BON-NS'!J22,'BSL-NS'!J22,'BWA-NS'!J22,'RFA-NS'!J22)</f>
        <v>5519</v>
      </c>
      <c r="K22" s="44" t="str">
        <f>IF('BON-NS'!K22="","",SUM('BON-NS'!K22,'BSL-NS'!K22,'BWA-NS'!K22,'RFA-NS'!K22))</f>
        <v/>
      </c>
      <c r="L22" s="21" t="str">
        <f t="shared" si="4"/>
        <v/>
      </c>
      <c r="M22" s="52" t="str">
        <f t="shared" si="5"/>
        <v/>
      </c>
      <c r="N22" s="34">
        <f t="shared" si="9"/>
        <v>74067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 x14ac:dyDescent="0.25">
      <c r="A23" s="39" t="s">
        <v>3</v>
      </c>
      <c r="B23" s="36">
        <f>IF(C24&lt;7,B24,B25)</f>
        <v>391443</v>
      </c>
      <c r="C23" s="37">
        <f>IF(C11="","",SUM(C11:C22))</f>
        <v>396462</v>
      </c>
      <c r="D23" s="38">
        <f>IF(D11="","",SUM(D11:D22))</f>
        <v>5019</v>
      </c>
      <c r="E23" s="53">
        <f t="shared" si="1"/>
        <v>1.282179014569171E-2</v>
      </c>
      <c r="F23" s="36">
        <f>IF(G24&lt;7,F24,F25)</f>
        <v>322242</v>
      </c>
      <c r="G23" s="37">
        <f>IF(G11="","",SUM(G11:G22))</f>
        <v>328593</v>
      </c>
      <c r="H23" s="38">
        <f>IF(H11="","",SUM(H11:H22))</f>
        <v>6351</v>
      </c>
      <c r="I23" s="53">
        <f t="shared" si="3"/>
        <v>1.9708790288044387E-2</v>
      </c>
      <c r="J23" s="36">
        <f>IF(K24&lt;7,J24,J25)</f>
        <v>53513</v>
      </c>
      <c r="K23" s="37">
        <f>IF(K11="","",SUM(K11:K22))</f>
        <v>46364</v>
      </c>
      <c r="L23" s="38">
        <f>IF(L11="","",SUM(L11:L22))</f>
        <v>-7149</v>
      </c>
      <c r="M23" s="53">
        <f t="shared" si="5"/>
        <v>-0.13359370620223124</v>
      </c>
      <c r="N23" s="36">
        <f>IF(O24&lt;7,N24,N25)</f>
        <v>767198</v>
      </c>
      <c r="O23" s="37">
        <f>IF(O11="","",SUM(O11:O22))</f>
        <v>771419</v>
      </c>
      <c r="P23" s="38">
        <f>IF(P11="","",SUM(P11:P22))</f>
        <v>4221</v>
      </c>
      <c r="Q23" s="53">
        <f t="shared" si="8"/>
        <v>5.5018391601646512E-3</v>
      </c>
    </row>
    <row r="24" spans="1:21" ht="11.25" customHeight="1" x14ac:dyDescent="0.2">
      <c r="A24" s="102" t="s">
        <v>28</v>
      </c>
      <c r="B24" s="103" t="str">
        <f>IF(C24=1,B11,IF(C24=2,SUM(B11:B12),IF(C24=3,SUM(B11:B13),IF(C24=4,SUM(B11:B14),IF(C24=5,SUM(B11:B15),IF(C24=6,SUM(B11:B16),""))))))</f>
        <v/>
      </c>
      <c r="C24" s="103">
        <f>COUNTIF(C11:C22,"&gt;0")</f>
        <v>9</v>
      </c>
      <c r="D24" s="103"/>
      <c r="E24" s="104"/>
      <c r="F24" s="103" t="str">
        <f>IF(G24=1,F11,IF(G24=2,SUM(F11:F12),IF(G24=3,SUM(F11:F13),IF(G24=4,SUM(F11:F14),IF(G24=5,SUM(F11:F15),IF(G24=6,SUM(F11:F16),""))))))</f>
        <v/>
      </c>
      <c r="G24" s="103">
        <f>COUNTIF(G11:G22,"&gt;0")</f>
        <v>9</v>
      </c>
      <c r="H24" s="103"/>
      <c r="I24" s="104"/>
      <c r="J24" s="103" t="str">
        <f>IF(K24=1,J11,IF(K24=2,SUM(J11:J12),IF(K24=3,SUM(J11:J13),IF(K24=4,SUM(J11:J14),IF(K24=5,SUM(J11:J15),IF(K24=6,SUM(J11:J16),""))))))</f>
        <v/>
      </c>
      <c r="K24" s="103">
        <f>COUNTIF(K11:K22,"&gt;0")</f>
        <v>9</v>
      </c>
      <c r="L24" s="103"/>
      <c r="M24" s="104"/>
      <c r="N24" s="103" t="str">
        <f>IF(O24=1,N11,IF(O24=2,SUM(N11:N12),IF(O24=3,SUM(N11:N13),IF(O24=4,SUM(N11:N14),IF(O24=5,SUM(N11:N15),IF(O24=6,SUM(N11:N16),""))))))</f>
        <v/>
      </c>
      <c r="O24" s="103">
        <f>COUNTIF(O11:O22,"&gt;0")</f>
        <v>9</v>
      </c>
      <c r="P24" s="106"/>
      <c r="Q24" s="107"/>
      <c r="R24" s="105"/>
      <c r="S24" s="105"/>
    </row>
    <row r="25" spans="1:21" ht="11.25" customHeight="1" x14ac:dyDescent="0.2">
      <c r="B25" s="76">
        <f>IF(C24=7,SUM(B11:B17),IF(C24=8,SUM(B11:B18),IF(C24=9,SUM(B11:B19),IF(C24=10,SUM(B11:B20),IF(C24=11,SUM(B11:B21),SUM(B11:B22))))))</f>
        <v>391443</v>
      </c>
      <c r="F25" s="76">
        <f>IF(G24=7,SUM(F11:F17),IF(G24=8,SUM(F11:F18),IF(G24=9,SUM(F11:F19),IF(G24=10,SUM(F11:F20),IF(G24=11,SUM(F11:F21),SUM(F11:F22))))))</f>
        <v>322242</v>
      </c>
      <c r="J25" s="76">
        <f>IF(K24=7,SUM(J11:J17),IF(K24=8,SUM(J11:J18),IF(K24=9,SUM(J11:J19),IF(K24=10,SUM(J11:J20),IF(K24=11,SUM(J11:J21),SUM(J11:J22))))))</f>
        <v>53513</v>
      </c>
      <c r="N25" s="76">
        <f>IF(O24=7,SUM(N11:N17),IF(O24=8,SUM(N11:N18),IF(O24=9,SUM(N11:N19),IF(O24=10,SUM(N11:N20),IF(O24=11,SUM(N11:N21),SUM(N11:N22))))))</f>
        <v>767198</v>
      </c>
    </row>
    <row r="26" spans="1:21" ht="11.25" customHeight="1" x14ac:dyDescent="0.2">
      <c r="A26" s="7"/>
      <c r="B26" s="117" t="s">
        <v>22</v>
      </c>
      <c r="C26" s="118"/>
      <c r="D26" s="118"/>
      <c r="E26" s="118"/>
      <c r="F26" s="9"/>
    </row>
    <row r="27" spans="1:21" ht="11.25" customHeight="1" thickBot="1" x14ac:dyDescent="0.25">
      <c r="B27" s="119"/>
      <c r="C27" s="119"/>
      <c r="D27" s="119"/>
      <c r="E27" s="119"/>
    </row>
    <row r="28" spans="1:21" ht="11.25" customHeight="1" thickBot="1" x14ac:dyDescent="0.25">
      <c r="A28" s="25" t="s">
        <v>4</v>
      </c>
      <c r="B28" s="136" t="s">
        <v>0</v>
      </c>
      <c r="C28" s="139"/>
      <c r="D28" s="139"/>
      <c r="E28" s="140"/>
      <c r="F28" s="122" t="s">
        <v>1</v>
      </c>
      <c r="G28" s="123"/>
      <c r="H28" s="123"/>
      <c r="I28" s="124"/>
      <c r="J28" s="128" t="s">
        <v>2</v>
      </c>
      <c r="K28" s="129"/>
      <c r="L28" s="129"/>
      <c r="M28" s="129"/>
      <c r="N28" s="130" t="s">
        <v>3</v>
      </c>
      <c r="O28" s="131"/>
      <c r="P28" s="131"/>
      <c r="Q28" s="132"/>
    </row>
    <row r="29" spans="1:21" ht="11.25" customHeight="1" thickBot="1" x14ac:dyDescent="0.25">
      <c r="A29" s="10"/>
      <c r="B29" s="45">
        <f>$B$9</f>
        <v>2016</v>
      </c>
      <c r="C29" s="46">
        <f>$C$9</f>
        <v>2017</v>
      </c>
      <c r="D29" s="120" t="s">
        <v>5</v>
      </c>
      <c r="E29" s="133"/>
      <c r="F29" s="45">
        <f>$B$9</f>
        <v>2016</v>
      </c>
      <c r="G29" s="46">
        <f>$C$9</f>
        <v>2017</v>
      </c>
      <c r="H29" s="120" t="s">
        <v>5</v>
      </c>
      <c r="I29" s="133"/>
      <c r="J29" s="45">
        <f>$B$9</f>
        <v>2016</v>
      </c>
      <c r="K29" s="46">
        <f>$C$9</f>
        <v>2017</v>
      </c>
      <c r="L29" s="120" t="s">
        <v>5</v>
      </c>
      <c r="M29" s="133"/>
      <c r="N29" s="45">
        <f>$B$9</f>
        <v>2016</v>
      </c>
      <c r="O29" s="46">
        <f>$C$9</f>
        <v>2017</v>
      </c>
      <c r="P29" s="120" t="s">
        <v>5</v>
      </c>
      <c r="Q29" s="121"/>
      <c r="R29" s="73" t="str">
        <f>RIGHT(B9,2)</f>
        <v>16</v>
      </c>
      <c r="S29" s="72" t="str">
        <f>RIGHT(C9,2)</f>
        <v>17</v>
      </c>
    </row>
    <row r="30" spans="1:21" ht="11.25" customHeight="1" thickBot="1" x14ac:dyDescent="0.25">
      <c r="A30" s="74" t="s">
        <v>24</v>
      </c>
      <c r="B30" s="11">
        <f>T43</f>
        <v>189</v>
      </c>
      <c r="C30" s="12">
        <f>U43</f>
        <v>190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41" t="s">
        <v>23</v>
      </c>
      <c r="S30" s="142"/>
    </row>
    <row r="31" spans="1:21" ht="11.25" customHeight="1" x14ac:dyDescent="0.2">
      <c r="A31" s="20" t="s">
        <v>6</v>
      </c>
      <c r="B31" s="65">
        <f t="shared" ref="B31:B42" si="10">IF(C11="","",B11/$R31)</f>
        <v>1746.4285714285713</v>
      </c>
      <c r="C31" s="68">
        <f t="shared" ref="C31:C42" si="11">IF(C11="","",C11/$S31)</f>
        <v>1760.6363636363637</v>
      </c>
      <c r="D31" s="64">
        <f t="shared" ref="D31:D42" si="12">IF(C31="","",C31-B31)</f>
        <v>14.207792207792409</v>
      </c>
      <c r="E31" s="60">
        <f t="shared" ref="E31:E43" si="13">IF(C31="","",(C31-B31)/ABS(B31))</f>
        <v>8.1353411414762256E-3</v>
      </c>
      <c r="F31" s="65">
        <f t="shared" ref="F31:F42" si="14">IF(G11="","",F11/$R31)</f>
        <v>1587.5238095238096</v>
      </c>
      <c r="G31" s="68">
        <f t="shared" ref="G31:G42" si="15">IF(G11="","",G11/$S31)</f>
        <v>1536.1363636363637</v>
      </c>
      <c r="H31" s="80">
        <f t="shared" ref="H31:H42" si="16">IF(G31="","",G31-F31)</f>
        <v>-51.387445887445892</v>
      </c>
      <c r="I31" s="60">
        <f t="shared" ref="I31:I43" si="17">IF(G31="","",(G31-F31)/ABS(F31))</f>
        <v>-3.2369559170807E-2</v>
      </c>
      <c r="J31" s="65">
        <f t="shared" ref="J31:J42" si="18">IF(K11="","",J11/$R31)</f>
        <v>268.14285714285717</v>
      </c>
      <c r="K31" s="68">
        <f t="shared" ref="K31:K42" si="19">IF(K11="","",K11/$S31)</f>
        <v>287.36363636363637</v>
      </c>
      <c r="L31" s="80">
        <f t="shared" ref="L31:L42" si="20">IF(K31="","",K31-J31)</f>
        <v>19.220779220779207</v>
      </c>
      <c r="M31" s="60">
        <f t="shared" ref="M31:M43" si="21">IF(K31="","",(K31-J31)/ABS(J31))</f>
        <v>7.1681115900615044E-2</v>
      </c>
      <c r="N31" s="65">
        <f t="shared" ref="N31:N42" si="22">IF(O11="","",N11/$R31)</f>
        <v>3602.0952380952381</v>
      </c>
      <c r="O31" s="68">
        <f t="shared" ref="O31:O42" si="23">IF(O11="","",O11/$S31)</f>
        <v>3584.1363636363635</v>
      </c>
      <c r="P31" s="80">
        <f t="shared" ref="P31:P42" si="24">IF(O31="","",O31-N31)</f>
        <v>-17.958874458874561</v>
      </c>
      <c r="Q31" s="58">
        <f t="shared" ref="Q31:Q43" si="25">IF(O31="","",(O31-N31)/ABS(N31))</f>
        <v>-4.9856745232452777E-3</v>
      </c>
      <c r="R31" s="56">
        <v>21</v>
      </c>
      <c r="S31" s="56">
        <v>22</v>
      </c>
      <c r="T31" s="77">
        <f>IF(OR(N31="",N31=0),"",R31)</f>
        <v>21</v>
      </c>
      <c r="U31" s="77">
        <f>IF(OR(O31="",O31=0),"",S31)</f>
        <v>22</v>
      </c>
    </row>
    <row r="32" spans="1:21" ht="11.25" customHeight="1" x14ac:dyDescent="0.2">
      <c r="A32" s="20" t="s">
        <v>7</v>
      </c>
      <c r="B32" s="65">
        <f t="shared" si="10"/>
        <v>2144.9</v>
      </c>
      <c r="C32" s="68">
        <f t="shared" si="11"/>
        <v>2037.8</v>
      </c>
      <c r="D32" s="64">
        <f t="shared" si="12"/>
        <v>-107.10000000000014</v>
      </c>
      <c r="E32" s="60">
        <f t="shared" si="13"/>
        <v>-4.993239778078238E-2</v>
      </c>
      <c r="F32" s="65">
        <f t="shared" si="14"/>
        <v>1916.95</v>
      </c>
      <c r="G32" s="68">
        <f t="shared" si="15"/>
        <v>1817.05</v>
      </c>
      <c r="H32" s="80">
        <f t="shared" si="16"/>
        <v>-99.900000000000091</v>
      </c>
      <c r="I32" s="60">
        <f t="shared" si="17"/>
        <v>-5.2114035316518474E-2</v>
      </c>
      <c r="J32" s="65">
        <f t="shared" si="18"/>
        <v>308.60000000000002</v>
      </c>
      <c r="K32" s="68">
        <f t="shared" si="19"/>
        <v>265.14999999999998</v>
      </c>
      <c r="L32" s="80">
        <f t="shared" si="20"/>
        <v>-43.450000000000045</v>
      </c>
      <c r="M32" s="60">
        <f t="shared" si="21"/>
        <v>-0.14079714841218419</v>
      </c>
      <c r="N32" s="65">
        <f t="shared" si="22"/>
        <v>4370.45</v>
      </c>
      <c r="O32" s="68">
        <f t="shared" si="23"/>
        <v>4120</v>
      </c>
      <c r="P32" s="80">
        <f t="shared" si="24"/>
        <v>-250.44999999999982</v>
      </c>
      <c r="Q32" s="58">
        <f t="shared" si="25"/>
        <v>-5.7305311809996644E-2</v>
      </c>
      <c r="R32" s="56">
        <v>20</v>
      </c>
      <c r="S32" s="56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20" t="s">
        <v>8</v>
      </c>
      <c r="B33" s="66">
        <f t="shared" si="10"/>
        <v>2098.6363636363635</v>
      </c>
      <c r="C33" s="69">
        <f t="shared" si="11"/>
        <v>2161.3478260869565</v>
      </c>
      <c r="D33" s="71">
        <f t="shared" si="12"/>
        <v>62.71146245059299</v>
      </c>
      <c r="E33" s="61">
        <f t="shared" si="13"/>
        <v>2.9882005066342775E-2</v>
      </c>
      <c r="F33" s="66">
        <f t="shared" si="14"/>
        <v>1762.8636363636363</v>
      </c>
      <c r="G33" s="69">
        <f t="shared" si="15"/>
        <v>1830.9130434782608</v>
      </c>
      <c r="H33" s="81">
        <f t="shared" si="16"/>
        <v>68.049407114624501</v>
      </c>
      <c r="I33" s="61">
        <f t="shared" si="17"/>
        <v>3.8601628458905683E-2</v>
      </c>
      <c r="J33" s="66">
        <f t="shared" si="18"/>
        <v>297.27272727272725</v>
      </c>
      <c r="K33" s="69">
        <f t="shared" si="19"/>
        <v>260.60869565217394</v>
      </c>
      <c r="L33" s="81">
        <f t="shared" si="20"/>
        <v>-36.664031620553317</v>
      </c>
      <c r="M33" s="61">
        <f t="shared" si="21"/>
        <v>-0.12333466294375735</v>
      </c>
      <c r="N33" s="66">
        <f t="shared" si="22"/>
        <v>4158.772727272727</v>
      </c>
      <c r="O33" s="69">
        <f t="shared" si="23"/>
        <v>4252.869565217391</v>
      </c>
      <c r="P33" s="81">
        <f t="shared" si="24"/>
        <v>94.096837944664003</v>
      </c>
      <c r="Q33" s="59">
        <f t="shared" si="25"/>
        <v>2.2626107295450015E-2</v>
      </c>
      <c r="R33" s="85">
        <v>22</v>
      </c>
      <c r="S33" s="85">
        <v>23</v>
      </c>
      <c r="T33" s="77">
        <f t="shared" si="26"/>
        <v>22</v>
      </c>
      <c r="U33" s="77">
        <f t="shared" si="26"/>
        <v>23</v>
      </c>
    </row>
    <row r="34" spans="1:21" ht="11.25" customHeight="1" x14ac:dyDescent="0.2">
      <c r="A34" s="20" t="s">
        <v>9</v>
      </c>
      <c r="B34" s="65">
        <f t="shared" si="10"/>
        <v>2294.4</v>
      </c>
      <c r="C34" s="68">
        <f t="shared" si="11"/>
        <v>2268.7222222222222</v>
      </c>
      <c r="D34" s="64">
        <f t="shared" si="12"/>
        <v>-25.677777777777919</v>
      </c>
      <c r="E34" s="60">
        <f t="shared" si="13"/>
        <v>-1.1191500077483402E-2</v>
      </c>
      <c r="F34" s="65">
        <f t="shared" si="14"/>
        <v>1893.2</v>
      </c>
      <c r="G34" s="68">
        <f t="shared" si="15"/>
        <v>1814.6111111111111</v>
      </c>
      <c r="H34" s="80">
        <f t="shared" si="16"/>
        <v>-78.58888888888896</v>
      </c>
      <c r="I34" s="60">
        <f t="shared" si="17"/>
        <v>-4.1511139282109102E-2</v>
      </c>
      <c r="J34" s="65">
        <f t="shared" si="18"/>
        <v>294.45</v>
      </c>
      <c r="K34" s="68">
        <f t="shared" si="19"/>
        <v>286.5</v>
      </c>
      <c r="L34" s="80">
        <f t="shared" si="20"/>
        <v>-7.9499999999999886</v>
      </c>
      <c r="M34" s="60">
        <f t="shared" si="21"/>
        <v>-2.6999490575649477E-2</v>
      </c>
      <c r="N34" s="65">
        <f t="shared" si="22"/>
        <v>4482.05</v>
      </c>
      <c r="O34" s="68">
        <f t="shared" si="23"/>
        <v>4369.833333333333</v>
      </c>
      <c r="P34" s="80">
        <f t="shared" si="24"/>
        <v>-112.21666666666715</v>
      </c>
      <c r="Q34" s="58">
        <f t="shared" si="25"/>
        <v>-2.5036906475087772E-2</v>
      </c>
      <c r="R34" s="56">
        <v>20</v>
      </c>
      <c r="S34" s="56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10</v>
      </c>
      <c r="B35" s="65">
        <f t="shared" si="10"/>
        <v>2361.5555555555557</v>
      </c>
      <c r="C35" s="68">
        <f t="shared" si="11"/>
        <v>2239</v>
      </c>
      <c r="D35" s="64">
        <f t="shared" si="12"/>
        <v>-122.55555555555566</v>
      </c>
      <c r="E35" s="60">
        <f t="shared" si="13"/>
        <v>-5.189611367272047E-2</v>
      </c>
      <c r="F35" s="65">
        <f t="shared" si="14"/>
        <v>1988.2222222222222</v>
      </c>
      <c r="G35" s="68">
        <f t="shared" si="15"/>
        <v>1823.1428571428571</v>
      </c>
      <c r="H35" s="80">
        <f t="shared" si="16"/>
        <v>-165.07936507936506</v>
      </c>
      <c r="I35" s="60">
        <f t="shared" si="17"/>
        <v>-8.3028628909929902E-2</v>
      </c>
      <c r="J35" s="65">
        <f t="shared" si="18"/>
        <v>286.94444444444446</v>
      </c>
      <c r="K35" s="68">
        <f t="shared" si="19"/>
        <v>230.1904761904762</v>
      </c>
      <c r="L35" s="80">
        <f t="shared" si="20"/>
        <v>-56.753968253968253</v>
      </c>
      <c r="M35" s="60">
        <f t="shared" si="21"/>
        <v>-0.19778730466048955</v>
      </c>
      <c r="N35" s="65">
        <f t="shared" si="22"/>
        <v>4636.7222222222226</v>
      </c>
      <c r="O35" s="68">
        <f t="shared" si="23"/>
        <v>4292.333333333333</v>
      </c>
      <c r="P35" s="80">
        <f t="shared" si="24"/>
        <v>-344.3888888888896</v>
      </c>
      <c r="Q35" s="58">
        <f t="shared" si="25"/>
        <v>-7.427421190735807E-2</v>
      </c>
      <c r="R35" s="56">
        <v>18</v>
      </c>
      <c r="S35" s="56">
        <v>21</v>
      </c>
      <c r="T35" s="77">
        <f t="shared" si="26"/>
        <v>18</v>
      </c>
      <c r="U35" s="77">
        <f t="shared" si="26"/>
        <v>21</v>
      </c>
    </row>
    <row r="36" spans="1:21" ht="11.25" customHeight="1" x14ac:dyDescent="0.2">
      <c r="A36" s="20" t="s">
        <v>11</v>
      </c>
      <c r="B36" s="66">
        <f t="shared" si="10"/>
        <v>2207.5454545454545</v>
      </c>
      <c r="C36" s="69">
        <f t="shared" si="11"/>
        <v>2085.6363636363635</v>
      </c>
      <c r="D36" s="71">
        <f t="shared" si="12"/>
        <v>-121.90909090909099</v>
      </c>
      <c r="E36" s="61">
        <f t="shared" si="13"/>
        <v>-5.5223819132726636E-2</v>
      </c>
      <c r="F36" s="66">
        <f t="shared" si="14"/>
        <v>1705.6363636363637</v>
      </c>
      <c r="G36" s="69">
        <f t="shared" si="15"/>
        <v>1681.3636363636363</v>
      </c>
      <c r="H36" s="81">
        <f t="shared" si="16"/>
        <v>-24.272727272727479</v>
      </c>
      <c r="I36" s="61">
        <f t="shared" si="17"/>
        <v>-1.4230892228973578E-2</v>
      </c>
      <c r="J36" s="66">
        <f t="shared" si="18"/>
        <v>284.22727272727275</v>
      </c>
      <c r="K36" s="69">
        <f t="shared" si="19"/>
        <v>212.18181818181819</v>
      </c>
      <c r="L36" s="81">
        <f t="shared" si="20"/>
        <v>-72.045454545454561</v>
      </c>
      <c r="M36" s="61">
        <f t="shared" si="21"/>
        <v>-0.25347833040140738</v>
      </c>
      <c r="N36" s="66">
        <f t="shared" si="22"/>
        <v>4197.409090909091</v>
      </c>
      <c r="O36" s="69">
        <f t="shared" si="23"/>
        <v>3979.181818181818</v>
      </c>
      <c r="P36" s="81">
        <f t="shared" si="24"/>
        <v>-218.22727272727298</v>
      </c>
      <c r="Q36" s="59">
        <f t="shared" si="25"/>
        <v>-5.1990946796183851E-2</v>
      </c>
      <c r="R36" s="85">
        <v>22</v>
      </c>
      <c r="S36" s="85">
        <v>22</v>
      </c>
      <c r="T36" s="77">
        <f t="shared" si="26"/>
        <v>22</v>
      </c>
      <c r="U36" s="77">
        <f t="shared" si="26"/>
        <v>22</v>
      </c>
    </row>
    <row r="37" spans="1:21" ht="11.25" customHeight="1" x14ac:dyDescent="0.2">
      <c r="A37" s="20" t="s">
        <v>12</v>
      </c>
      <c r="B37" s="65">
        <f t="shared" si="10"/>
        <v>1798.7391304347825</v>
      </c>
      <c r="C37" s="68">
        <f t="shared" si="11"/>
        <v>2053.5238095238096</v>
      </c>
      <c r="D37" s="64">
        <f t="shared" si="12"/>
        <v>254.78467908902712</v>
      </c>
      <c r="E37" s="60">
        <f t="shared" si="13"/>
        <v>0.1416462647518219</v>
      </c>
      <c r="F37" s="65">
        <f t="shared" si="14"/>
        <v>1466</v>
      </c>
      <c r="G37" s="68">
        <f t="shared" si="15"/>
        <v>1670</v>
      </c>
      <c r="H37" s="80">
        <f t="shared" si="16"/>
        <v>204</v>
      </c>
      <c r="I37" s="60">
        <f t="shared" si="17"/>
        <v>0.13915416098226466</v>
      </c>
      <c r="J37" s="65">
        <f t="shared" si="18"/>
        <v>262.47826086956519</v>
      </c>
      <c r="K37" s="68">
        <f t="shared" si="19"/>
        <v>230.38095238095238</v>
      </c>
      <c r="L37" s="80">
        <f t="shared" si="20"/>
        <v>-32.097308488612811</v>
      </c>
      <c r="M37" s="60">
        <f t="shared" si="21"/>
        <v>-0.12228558807985668</v>
      </c>
      <c r="N37" s="65">
        <f t="shared" si="22"/>
        <v>3527.217391304348</v>
      </c>
      <c r="O37" s="68">
        <f t="shared" si="23"/>
        <v>3953.9047619047619</v>
      </c>
      <c r="P37" s="80">
        <f t="shared" si="24"/>
        <v>426.68737060041394</v>
      </c>
      <c r="Q37" s="58">
        <f t="shared" si="25"/>
        <v>0.12096996676539605</v>
      </c>
      <c r="R37" s="56">
        <v>23</v>
      </c>
      <c r="S37" s="56">
        <v>21</v>
      </c>
      <c r="T37" s="77">
        <f t="shared" si="26"/>
        <v>23</v>
      </c>
      <c r="U37" s="77">
        <f t="shared" si="26"/>
        <v>21</v>
      </c>
    </row>
    <row r="38" spans="1:21" ht="11.25" customHeight="1" x14ac:dyDescent="0.2">
      <c r="A38" s="20" t="s">
        <v>13</v>
      </c>
      <c r="B38" s="65">
        <f t="shared" si="10"/>
        <v>1998.7142857142858</v>
      </c>
      <c r="C38" s="68">
        <f t="shared" si="11"/>
        <v>1977.4545454545455</v>
      </c>
      <c r="D38" s="64">
        <f t="shared" si="12"/>
        <v>-21.259740259740283</v>
      </c>
      <c r="E38" s="60">
        <f t="shared" si="13"/>
        <v>-1.0636708013593165E-2</v>
      </c>
      <c r="F38" s="65">
        <f t="shared" si="14"/>
        <v>1437.1904761904761</v>
      </c>
      <c r="G38" s="68">
        <f t="shared" si="15"/>
        <v>1487.2272727272727</v>
      </c>
      <c r="H38" s="80">
        <f t="shared" si="16"/>
        <v>50.036796536796601</v>
      </c>
      <c r="I38" s="60">
        <f t="shared" si="17"/>
        <v>3.4815702835317867E-2</v>
      </c>
      <c r="J38" s="65">
        <f t="shared" si="18"/>
        <v>267.66666666666669</v>
      </c>
      <c r="K38" s="68">
        <f t="shared" si="19"/>
        <v>225.09090909090909</v>
      </c>
      <c r="L38" s="80">
        <f t="shared" si="20"/>
        <v>-42.575757575757592</v>
      </c>
      <c r="M38" s="60">
        <f t="shared" si="21"/>
        <v>-0.15906260613608067</v>
      </c>
      <c r="N38" s="65">
        <f t="shared" si="22"/>
        <v>3703.5714285714284</v>
      </c>
      <c r="O38" s="68">
        <f t="shared" si="23"/>
        <v>3689.7727272727275</v>
      </c>
      <c r="P38" s="80">
        <f t="shared" si="24"/>
        <v>-13.798701298700962</v>
      </c>
      <c r="Q38" s="58">
        <f t="shared" si="25"/>
        <v>-3.7257824143069138E-3</v>
      </c>
      <c r="R38" s="56">
        <v>21</v>
      </c>
      <c r="S38" s="56">
        <v>22</v>
      </c>
      <c r="T38" s="77">
        <f t="shared" si="26"/>
        <v>21</v>
      </c>
      <c r="U38" s="77">
        <f t="shared" si="26"/>
        <v>22</v>
      </c>
    </row>
    <row r="39" spans="1:21" ht="11.25" customHeight="1" x14ac:dyDescent="0.2">
      <c r="A39" s="20" t="s">
        <v>14</v>
      </c>
      <c r="B39" s="66">
        <f t="shared" si="10"/>
        <v>2063.3636363636365</v>
      </c>
      <c r="C39" s="69">
        <f t="shared" si="11"/>
        <v>2233</v>
      </c>
      <c r="D39" s="71">
        <f t="shared" si="12"/>
        <v>169.63636363636351</v>
      </c>
      <c r="E39" s="61">
        <f t="shared" si="13"/>
        <v>8.2213508393179646E-2</v>
      </c>
      <c r="F39" s="66">
        <f t="shared" si="14"/>
        <v>1668.5</v>
      </c>
      <c r="G39" s="69">
        <f t="shared" si="15"/>
        <v>1934.1904761904761</v>
      </c>
      <c r="H39" s="81">
        <f t="shared" si="16"/>
        <v>265.69047619047615</v>
      </c>
      <c r="I39" s="61">
        <f t="shared" si="17"/>
        <v>0.15923912267933843</v>
      </c>
      <c r="J39" s="66">
        <f t="shared" si="18"/>
        <v>282.04545454545456</v>
      </c>
      <c r="K39" s="69">
        <f t="shared" si="19"/>
        <v>204.57142857142858</v>
      </c>
      <c r="L39" s="81">
        <f t="shared" si="20"/>
        <v>-77.474025974025977</v>
      </c>
      <c r="M39" s="61">
        <f t="shared" si="21"/>
        <v>-0.2746863128813169</v>
      </c>
      <c r="N39" s="66">
        <f t="shared" si="22"/>
        <v>4013.909090909091</v>
      </c>
      <c r="O39" s="69">
        <f t="shared" si="23"/>
        <v>4371.7619047619046</v>
      </c>
      <c r="P39" s="81">
        <f t="shared" si="24"/>
        <v>357.8528138528136</v>
      </c>
      <c r="Q39" s="59">
        <f t="shared" si="25"/>
        <v>8.9153193494914268E-2</v>
      </c>
      <c r="R39" s="85">
        <v>22</v>
      </c>
      <c r="S39" s="85">
        <v>21</v>
      </c>
      <c r="T39" s="77">
        <f t="shared" si="26"/>
        <v>22</v>
      </c>
      <c r="U39" s="77">
        <f t="shared" si="26"/>
        <v>21</v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22</v>
      </c>
      <c r="S40" s="56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2"/>
        <v/>
      </c>
      <c r="E42" s="60" t="str">
        <f t="shared" si="13"/>
        <v/>
      </c>
      <c r="F42" s="65" t="str">
        <f t="shared" si="14"/>
        <v/>
      </c>
      <c r="G42" s="68" t="str">
        <f t="shared" si="15"/>
        <v/>
      </c>
      <c r="H42" s="80" t="str">
        <f t="shared" si="16"/>
        <v/>
      </c>
      <c r="I42" s="60" t="str">
        <f t="shared" si="17"/>
        <v/>
      </c>
      <c r="J42" s="65" t="str">
        <f t="shared" si="18"/>
        <v/>
      </c>
      <c r="K42" s="68" t="str">
        <f t="shared" si="19"/>
        <v/>
      </c>
      <c r="L42" s="80" t="str">
        <f t="shared" si="20"/>
        <v/>
      </c>
      <c r="M42" s="60" t="str">
        <f t="shared" si="21"/>
        <v/>
      </c>
      <c r="N42" s="65" t="str">
        <f t="shared" si="22"/>
        <v/>
      </c>
      <c r="O42" s="68" t="str">
        <f t="shared" si="23"/>
        <v/>
      </c>
      <c r="P42" s="80" t="str">
        <f t="shared" si="24"/>
        <v/>
      </c>
      <c r="Q42" s="58" t="str">
        <f t="shared" si="25"/>
        <v/>
      </c>
      <c r="R42" s="56">
        <v>22</v>
      </c>
      <c r="S42" s="56">
        <v>19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75" t="s">
        <v>29</v>
      </c>
      <c r="B43" s="67">
        <f>AVERAGE(B31:B42)</f>
        <v>2079.3647775198497</v>
      </c>
      <c r="C43" s="70">
        <f>IF(C11="","",AVERAGE(C31:C42))</f>
        <v>2090.7912367289177</v>
      </c>
      <c r="D43" s="62">
        <f>IF(D31="","",AVERAGE(D31:D42))</f>
        <v>11.426459209067893</v>
      </c>
      <c r="E43" s="54">
        <f t="shared" si="13"/>
        <v>5.495168203578457E-3</v>
      </c>
      <c r="F43" s="67">
        <f>AVERAGE(F31:F42)</f>
        <v>1714.0096119929451</v>
      </c>
      <c r="G43" s="70">
        <f>IF(G11="","",AVERAGE(G31:G42))</f>
        <v>1732.7371956277752</v>
      </c>
      <c r="H43" s="82">
        <f>IF(H31="","",AVERAGE(H31:H42))</f>
        <v>18.727583634829973</v>
      </c>
      <c r="I43" s="54">
        <f t="shared" si="17"/>
        <v>1.0926183554510433E-2</v>
      </c>
      <c r="J43" s="67">
        <f>AVERAGE(J31:J42)</f>
        <v>283.53640929655421</v>
      </c>
      <c r="K43" s="70">
        <f>IF(K11="","",AVERAGE(K31:K42))</f>
        <v>244.67087960348829</v>
      </c>
      <c r="L43" s="82">
        <f>IF(L31="","",AVERAGE(L31:L42))</f>
        <v>-38.865529693065923</v>
      </c>
      <c r="M43" s="54">
        <f t="shared" si="21"/>
        <v>-0.13707421134904754</v>
      </c>
      <c r="N43" s="67">
        <f>AVERAGE(N31:N42)</f>
        <v>4076.9107988093497</v>
      </c>
      <c r="O43" s="70">
        <f>IF(O11="","",AVERAGE(O31:O42))</f>
        <v>4068.1993119601811</v>
      </c>
      <c r="P43" s="82">
        <f>IF(P31="","",AVERAGE(P31:P42))</f>
        <v>-8.7114868491681694</v>
      </c>
      <c r="Q43" s="55">
        <f t="shared" si="25"/>
        <v>-2.1367862283650377E-3</v>
      </c>
      <c r="R43" s="57">
        <f>SUM(R31:R42)</f>
        <v>254</v>
      </c>
      <c r="S43" s="86">
        <f>SUM(S31:S42)</f>
        <v>253</v>
      </c>
      <c r="T43" s="77">
        <f>SUM(T31:T42)</f>
        <v>189</v>
      </c>
      <c r="U43" s="76">
        <f>SUM(U31:U42)</f>
        <v>190</v>
      </c>
    </row>
    <row r="44" spans="1:21" s="26" customFormat="1" ht="11.25" customHeight="1" x14ac:dyDescent="0.2">
      <c r="A44" s="108" t="s">
        <v>28</v>
      </c>
      <c r="B44" s="113"/>
      <c r="C44" s="109">
        <f>COUNTIF(C31:C42,"&gt;0")</f>
        <v>9</v>
      </c>
      <c r="D44" s="110"/>
      <c r="E44" s="111"/>
      <c r="F44" s="109"/>
      <c r="G44" s="109">
        <f>COUNTIF(G31:G42,"&gt;0")</f>
        <v>9</v>
      </c>
      <c r="H44" s="110"/>
      <c r="I44" s="111"/>
      <c r="J44" s="109"/>
      <c r="K44" s="109">
        <f>COUNTIF(K31:K42,"&gt;0")</f>
        <v>9</v>
      </c>
      <c r="L44" s="110"/>
      <c r="M44" s="111"/>
      <c r="N44" s="109"/>
      <c r="O44" s="109">
        <f>COUNTIF(O31:O42,"&gt;0")</f>
        <v>9</v>
      </c>
      <c r="P44" s="114"/>
      <c r="Q44" s="115"/>
      <c r="R44" s="112"/>
      <c r="S44" s="112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wWiOMzo9unU89xqHEaGUHW2aqUH/cyNuZiCp8umVq5QtZBJ4kVOiebRT1YMQYuqhOICxELfJTSWCCivQ4Bu6ow==" saltValue="+90kJzTq8Z0D3Qggn8/AqQ==" spinCount="100000" sheet="1" objects="1" scenarios="1" selectLockedCells="1" selectUnlockedCells="1"/>
  <mergeCells count="22">
    <mergeCell ref="B2:E2"/>
    <mergeCell ref="D3:E3"/>
    <mergeCell ref="B3:C3"/>
    <mergeCell ref="B6:E7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S43">
    <cfRule type="expression" dxfId="23" priority="9" stopIfTrue="1">
      <formula>S43&lt;$R43</formula>
    </cfRule>
    <cfRule type="expression" dxfId="22" priority="10" stopIfTrue="1">
      <formula>S43&gt;$R43</formula>
    </cfRule>
  </conditionalFormatting>
  <conditionalFormatting sqref="B14:B21 F12:F22 J12:J22 N12:N22">
    <cfRule type="expression" dxfId="21" priority="11" stopIfTrue="1">
      <formula>C12=""</formula>
    </cfRule>
  </conditionalFormatting>
  <conditionalFormatting sqref="B22 B12:B13">
    <cfRule type="expression" dxfId="20" priority="12" stopIfTrue="1">
      <formula>C12=""</formula>
    </cfRule>
  </conditionalFormatting>
  <conditionalFormatting sqref="R31:R42">
    <cfRule type="expression" dxfId="19" priority="3" stopIfTrue="1">
      <formula>R31&lt;$R31</formula>
    </cfRule>
    <cfRule type="expression" dxfId="18" priority="4" stopIfTrue="1">
      <formula>R31&gt;$R31</formula>
    </cfRule>
  </conditionalFormatting>
  <conditionalFormatting sqref="S31:S42">
    <cfRule type="expression" dxfId="17" priority="1" stopIfTrue="1">
      <formula>S31&lt;$R31</formula>
    </cfRule>
    <cfRule type="expression" dxfId="16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2017-10-16T09:25:29Z</cp:lastPrinted>
  <dcterms:created xsi:type="dcterms:W3CDTF">2001-04-11T08:03:28Z</dcterms:created>
  <dcterms:modified xsi:type="dcterms:W3CDTF">2017-10-16T09:42:59Z</dcterms:modified>
</cp:coreProperties>
</file>